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15" tabRatio="619" firstSheet="13" activeTab="14"/>
  </bookViews>
  <sheets>
    <sheet name="96年度" sheetId="1" state="hidden" r:id="rId1"/>
    <sheet name="97年度" sheetId="2" state="hidden" r:id="rId2"/>
    <sheet name="98年度" sheetId="3" state="hidden" r:id="rId3"/>
    <sheet name="99年度" sheetId="4" state="hidden" r:id="rId4"/>
    <sheet name="100年度" sheetId="5" state="hidden" r:id="rId5"/>
    <sheet name="101年度" sheetId="6" r:id="rId6"/>
    <sheet name="102年度" sheetId="7" r:id="rId7"/>
    <sheet name="103年度(不含蘭陽、台北)" sheetId="8" r:id="rId8"/>
    <sheet name="104年度(不含蘭陽、台北) " sheetId="9" r:id="rId9"/>
    <sheet name="105年度(不含蘭陽、台北) " sheetId="10" r:id="rId10"/>
    <sheet name="106年度(不含蘭陽、台北)   " sheetId="11" r:id="rId11"/>
    <sheet name="107年度(不含蘭陽、台北)  " sheetId="12" r:id="rId12"/>
    <sheet name="108年度(不含蘭陽、台北)" sheetId="13" r:id="rId13"/>
    <sheet name="109年度(不含蘭陽、台北)" sheetId="14" r:id="rId14"/>
    <sheet name="110年度(不含蘭陽、台北)" sheetId="15" r:id="rId15"/>
    <sheet name="AZ" sheetId="16" r:id="rId16"/>
    <sheet name="GS事務組" sheetId="17" r:id="rId17"/>
    <sheet name="GM資產組" sheetId="18" r:id="rId18"/>
    <sheet name="台北總務組" sheetId="19" r:id="rId19"/>
    <sheet name="蘭陽" sheetId="20" r:id="rId20"/>
    <sheet name="繳校入庫" sheetId="21" r:id="rId21"/>
  </sheets>
  <definedNames>
    <definedName name="_xlnm.Print_Area" localSheetId="15">'AZ'!$3:$45</definedName>
    <definedName name="_xlnm.Print_Area" localSheetId="19">'蘭陽'!$X$69</definedName>
    <definedName name="_xlnm.Print_Titles" localSheetId="15">'AZ'!$2:$69</definedName>
    <definedName name="_xlnm.Print_Titles" localSheetId="18">'台北總務組'!$B:$W,'台北總務組'!$2:$69</definedName>
    <definedName name="_xlnm.Print_Titles" localSheetId="19">'蘭陽'!$B:$X,'蘭陽'!$2:$69</definedName>
  </definedNames>
  <calcPr fullCalcOnLoad="1"/>
</workbook>
</file>

<file path=xl/sharedStrings.xml><?xml version="1.0" encoding="utf-8"?>
<sst xmlns="http://schemas.openxmlformats.org/spreadsheetml/2006/main" count="544" uniqueCount="158">
  <si>
    <t xml:space="preserve"> 96年
月份</t>
  </si>
  <si>
    <t>總計</t>
  </si>
  <si>
    <t>廢
紙
類</t>
  </si>
  <si>
    <t>廢
鐵
罐</t>
  </si>
  <si>
    <t>廢
鋁
罐</t>
  </si>
  <si>
    <t>其他金屬製品</t>
  </si>
  <si>
    <t>廢
保
特
瓶</t>
  </si>
  <si>
    <t>廢塑膠製品</t>
  </si>
  <si>
    <t>廢玻璃容器</t>
  </si>
  <si>
    <t>舊
衣
類</t>
  </si>
  <si>
    <t>廢
家
電</t>
  </si>
  <si>
    <t>廢
電
腦</t>
  </si>
  <si>
    <t>廢
輪
胎</t>
  </si>
  <si>
    <t>廢
鋁
箔
包</t>
  </si>
  <si>
    <t>廢
紙
容
器</t>
  </si>
  <si>
    <t>廢
乾
電
池</t>
  </si>
  <si>
    <t>廢鉛蓄電池</t>
  </si>
  <si>
    <t>廢包裝用發炮塑膠</t>
  </si>
  <si>
    <t>廢碳、墨匣</t>
  </si>
  <si>
    <t>97年
月份</t>
  </si>
  <si>
    <t>其他
金屬
製品</t>
  </si>
  <si>
    <t>廢塑
膠製
品</t>
  </si>
  <si>
    <t>廢玻
璃容
器</t>
  </si>
  <si>
    <t>廢鉛
蓄電
池</t>
  </si>
  <si>
    <t>廢包裝用發炮塑膠</t>
  </si>
  <si>
    <t>廢
CD
片</t>
  </si>
  <si>
    <t>廢碳
、
墨匣</t>
  </si>
  <si>
    <t>總計</t>
  </si>
  <si>
    <t>廢CD片</t>
  </si>
  <si>
    <r>
      <t xml:space="preserve">廢日光燈管
</t>
    </r>
    <r>
      <rPr>
        <sz val="6"/>
        <rFont val="細明體"/>
        <family val="3"/>
      </rPr>
      <t>(直管)</t>
    </r>
  </si>
  <si>
    <r>
      <t xml:space="preserve">廢日光燈管
</t>
    </r>
    <r>
      <rPr>
        <sz val="6"/>
        <rFont val="細明體"/>
        <family val="3"/>
      </rPr>
      <t>（直管）</t>
    </r>
  </si>
  <si>
    <t>廚餘</t>
  </si>
  <si>
    <t>總 計</t>
  </si>
  <si>
    <t>廢鋁 箔包</t>
  </si>
  <si>
    <t>廢紙 容器</t>
  </si>
  <si>
    <t>廢乾 電池</t>
  </si>
  <si>
    <t>廢保
特瓶</t>
  </si>
  <si>
    <r>
      <t xml:space="preserve">廢日光燈管
</t>
    </r>
    <r>
      <rPr>
        <sz val="6"/>
        <rFont val="細明體"/>
        <family val="3"/>
      </rPr>
      <t>（直管）</t>
    </r>
  </si>
  <si>
    <t>舊  衣類</t>
  </si>
  <si>
    <t>廢  家電</t>
  </si>
  <si>
    <t>廢  電腦</t>
  </si>
  <si>
    <t>廢  輪胎</t>
  </si>
  <si>
    <t>廢  鋁罐</t>
  </si>
  <si>
    <t>廢  鐵罐</t>
  </si>
  <si>
    <t>廢  紙類</t>
  </si>
  <si>
    <t>廢碳 、墨匣</t>
  </si>
  <si>
    <t>月份</t>
  </si>
  <si>
    <t>98年
月份</t>
  </si>
  <si>
    <t>每月
平均</t>
  </si>
  <si>
    <t>廚
餘</t>
  </si>
  <si>
    <t>總
計</t>
  </si>
  <si>
    <t>總計</t>
  </si>
  <si>
    <t>每月
平均</t>
  </si>
  <si>
    <t>資源回收繳校入庫：</t>
  </si>
  <si>
    <t>廢包裝用發泡塑膠</t>
  </si>
  <si>
    <t>9807-08</t>
  </si>
  <si>
    <t>年度</t>
  </si>
  <si>
    <t>98年</t>
  </si>
  <si>
    <t>97年</t>
  </si>
  <si>
    <t>99年</t>
  </si>
  <si>
    <t>廢日光燈管
(直管)</t>
  </si>
  <si>
    <t>廢碳 、墨匣(KG)</t>
  </si>
  <si>
    <t>廢CD片(KG)</t>
  </si>
  <si>
    <t>廢乾 電池(KG)</t>
  </si>
  <si>
    <t>廢玻璃容器(KG)</t>
  </si>
  <si>
    <t>廢塑膠製品(KG)</t>
  </si>
  <si>
    <t>廢  鋁罐(KG)</t>
  </si>
  <si>
    <t>廢  紙類(KG)</t>
  </si>
  <si>
    <t>廢鋁 箔包(KG)</t>
  </si>
  <si>
    <t>99年
月份</t>
  </si>
  <si>
    <t>100年</t>
  </si>
  <si>
    <t>100年</t>
  </si>
  <si>
    <t>總
計</t>
  </si>
  <si>
    <t>廢
紙
類</t>
  </si>
  <si>
    <t>廢
鐵
罐</t>
  </si>
  <si>
    <t>廢
鋁
罐</t>
  </si>
  <si>
    <t>其他
金屬
製品</t>
  </si>
  <si>
    <t>廢保
特瓶</t>
  </si>
  <si>
    <t>廢塑
膠製
品</t>
  </si>
  <si>
    <t>廢玻
璃容
器</t>
  </si>
  <si>
    <t>舊
衣
類</t>
  </si>
  <si>
    <t>廢
家
電</t>
  </si>
  <si>
    <t>廢
電
腦</t>
  </si>
  <si>
    <t>廢
輪
胎</t>
  </si>
  <si>
    <t>廢
鋁
箔
包</t>
  </si>
  <si>
    <t>廢
紙
容
器</t>
  </si>
  <si>
    <t>廢
乾
電
池</t>
  </si>
  <si>
    <t>廢鉛
蓄電
池</t>
  </si>
  <si>
    <t>廢日光燈管
(直管)</t>
  </si>
  <si>
    <t>廢包裝用發炮塑膠</t>
  </si>
  <si>
    <t>廢
CD
片</t>
  </si>
  <si>
    <t>廢碳
、
墨匣</t>
  </si>
  <si>
    <t>廚
餘</t>
  </si>
  <si>
    <t>總計</t>
  </si>
  <si>
    <t>每月
平均</t>
  </si>
  <si>
    <t>100年
月份</t>
  </si>
  <si>
    <t>100 04</t>
  </si>
  <si>
    <t>100 03</t>
  </si>
  <si>
    <t>100 02</t>
  </si>
  <si>
    <t>100 01</t>
  </si>
  <si>
    <t>100 05</t>
  </si>
  <si>
    <t>100 06</t>
  </si>
  <si>
    <t>100 07</t>
  </si>
  <si>
    <t>100 08</t>
  </si>
  <si>
    <t>100 09</t>
  </si>
  <si>
    <t>100 10</t>
  </si>
  <si>
    <t>100 11</t>
  </si>
  <si>
    <t>100 12</t>
  </si>
  <si>
    <t>101年
月份</t>
  </si>
  <si>
    <t>101年</t>
  </si>
  <si>
    <t>101 01</t>
  </si>
  <si>
    <t>101 02</t>
  </si>
  <si>
    <t>101 03</t>
  </si>
  <si>
    <t>101 04</t>
  </si>
  <si>
    <t>101 05</t>
  </si>
  <si>
    <t>101 06</t>
  </si>
  <si>
    <t>101 07</t>
  </si>
  <si>
    <t>101 08</t>
  </si>
  <si>
    <t>101 09</t>
  </si>
  <si>
    <t>101 10</t>
  </si>
  <si>
    <t>101 11</t>
  </si>
  <si>
    <t>101 12</t>
  </si>
  <si>
    <t>101年</t>
  </si>
  <si>
    <t>102年</t>
  </si>
  <si>
    <t>102年</t>
  </si>
  <si>
    <t>102年
月份</t>
  </si>
  <si>
    <t xml:space="preserve"> </t>
  </si>
  <si>
    <t>102 01</t>
  </si>
  <si>
    <t>102 02</t>
  </si>
  <si>
    <t>102 03</t>
  </si>
  <si>
    <t>102 04</t>
  </si>
  <si>
    <t>102 05</t>
  </si>
  <si>
    <t>102 06</t>
  </si>
  <si>
    <t>102 07</t>
  </si>
  <si>
    <t>102 08</t>
  </si>
  <si>
    <t>102 09</t>
  </si>
  <si>
    <t>102 10</t>
  </si>
  <si>
    <t>102 11</t>
  </si>
  <si>
    <t>102 12</t>
  </si>
  <si>
    <t xml:space="preserve"> </t>
  </si>
  <si>
    <t>103年</t>
  </si>
  <si>
    <t>104年</t>
  </si>
  <si>
    <t>103年
月份</t>
  </si>
  <si>
    <t>104年
月份</t>
  </si>
  <si>
    <t>105年</t>
  </si>
  <si>
    <t>106年</t>
  </si>
  <si>
    <t>106年</t>
  </si>
  <si>
    <t>107年</t>
  </si>
  <si>
    <t>107年</t>
  </si>
  <si>
    <t>106年
月份</t>
  </si>
  <si>
    <t>107年
月份</t>
  </si>
  <si>
    <t>108年</t>
  </si>
  <si>
    <t>109年</t>
  </si>
  <si>
    <t>110年</t>
  </si>
  <si>
    <t>111年</t>
  </si>
  <si>
    <t>108年
月份</t>
  </si>
  <si>
    <t>109年
月份</t>
  </si>
  <si>
    <t>110年
月份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</si>
</sst>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_);[Red]\(0.0\)"/>
    <numFmt numFmtId="182" formatCode="#,##0.00_ "/>
    <numFmt numFmtId="183" formatCode="[$-404]AM/PM\ hh:mm:ss"/>
    <numFmt numFmtId="184" formatCode="0.00_);[Red]\(0.00\)"/>
    <numFmt numFmtId="185" formatCode="0_);[Red]\(0\)"/>
    <numFmt numFmtId="186" formatCode="0.000_);[Red]\(0.000\)"/>
    <numFmt numFmtId="187" formatCode="0.0_ "/>
    <numFmt numFmtId="188" formatCode="0.0"/>
    <numFmt numFmtId="189" formatCode="[$€-2]\ #,##0.00_);[Red]\([$€-2]\ #,##0.00\)"/>
    <numFmt numFmtId="190" formatCode="_-* #,##0.0_-;\-* #,##0.0_-;_-* &quot;-&quot;??_-;_-@_-"/>
  </numFmts>
  <fonts count="55">
    <font>
      <sz val="12"/>
      <name val="新細明體"/>
      <family val="1"/>
    </font>
    <font>
      <sz val="9"/>
      <name val="新細明體"/>
      <family val="1"/>
    </font>
    <font>
      <sz val="6"/>
      <name val="細明體"/>
      <family val="3"/>
    </font>
    <font>
      <sz val="12"/>
      <name val="細明體"/>
      <family val="3"/>
    </font>
    <font>
      <sz val="11"/>
      <name val="細明體"/>
      <family val="3"/>
    </font>
    <font>
      <sz val="8"/>
      <color indexed="10"/>
      <name val="細明體"/>
      <family val="3"/>
    </font>
    <font>
      <sz val="12"/>
      <color indexed="16"/>
      <name val="細明體"/>
      <family val="3"/>
    </font>
    <font>
      <sz val="11"/>
      <color indexed="16"/>
      <name val="細明體"/>
      <family val="3"/>
    </font>
    <font>
      <sz val="8"/>
      <name val="細明體"/>
      <family val="3"/>
    </font>
    <font>
      <b/>
      <sz val="12"/>
      <color indexed="16"/>
      <name val="細明體"/>
      <family val="3"/>
    </font>
    <font>
      <b/>
      <sz val="12"/>
      <name val="細明體"/>
      <family val="3"/>
    </font>
    <font>
      <sz val="12"/>
      <color indexed="10"/>
      <name val="細明體"/>
      <family val="3"/>
    </font>
    <font>
      <sz val="12"/>
      <color indexed="8"/>
      <name val="細明體"/>
      <family val="3"/>
    </font>
    <font>
      <sz val="10.5"/>
      <name val="細明體"/>
      <family val="3"/>
    </font>
    <font>
      <sz val="10.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indexed="62"/>
      <name val="Cambria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medium"/>
      <right style="hair"/>
      <top style="medium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double"/>
    </border>
    <border>
      <left style="hair"/>
      <right style="medium"/>
      <top style="thin"/>
      <bottom style="double"/>
    </border>
    <border>
      <left style="medium"/>
      <right style="hair"/>
      <top style="double"/>
      <bottom style="thin"/>
    </border>
    <border>
      <left style="hair"/>
      <right style="medium"/>
      <top style="double"/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2" applyNumberFormat="0" applyAlignment="0" applyProtection="0"/>
    <xf numFmtId="0" fontId="50" fillId="21" borderId="8" applyNumberFormat="0" applyAlignment="0" applyProtection="0"/>
    <xf numFmtId="0" fontId="51" fillId="29" borderId="9" applyNumberFormat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279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31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1" borderId="11" xfId="0" applyFont="1" applyFill="1" applyBorder="1" applyAlignment="1">
      <alignment horizontal="center" vertical="center" wrapText="1"/>
    </xf>
    <xf numFmtId="0" fontId="3" fillId="31" borderId="12" xfId="0" applyFont="1" applyFill="1" applyBorder="1" applyAlignment="1">
      <alignment horizontal="center" vertical="center" wrapText="1"/>
    </xf>
    <xf numFmtId="177" fontId="3" fillId="0" borderId="0" xfId="33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vertical="center" wrapText="1"/>
    </xf>
    <xf numFmtId="0" fontId="3" fillId="32" borderId="15" xfId="0" applyFont="1" applyFill="1" applyBorder="1" applyAlignment="1">
      <alignment vertical="center" wrapText="1"/>
    </xf>
    <xf numFmtId="0" fontId="3" fillId="3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1" borderId="21" xfId="0" applyFont="1" applyFill="1" applyBorder="1" applyAlignment="1">
      <alignment horizontal="center" vertical="center" wrapText="1"/>
    </xf>
    <xf numFmtId="0" fontId="4" fillId="31" borderId="22" xfId="0" applyFont="1" applyFill="1" applyBorder="1" applyAlignment="1">
      <alignment horizontal="center" vertical="center" wrapText="1"/>
    </xf>
    <xf numFmtId="0" fontId="3" fillId="31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9" fillId="12" borderId="24" xfId="0" applyFont="1" applyFill="1" applyBorder="1" applyAlignment="1">
      <alignment vertical="center"/>
    </xf>
    <xf numFmtId="0" fontId="7" fillId="12" borderId="16" xfId="0" applyFont="1" applyFill="1" applyBorder="1" applyAlignment="1">
      <alignment horizontal="right" vertical="center" wrapText="1"/>
    </xf>
    <xf numFmtId="0" fontId="7" fillId="12" borderId="17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vertical="center"/>
    </xf>
    <xf numFmtId="0" fontId="7" fillId="32" borderId="25" xfId="0" applyFont="1" applyFill="1" applyBorder="1" applyAlignment="1">
      <alignment horizontal="center" vertical="center" wrapText="1"/>
    </xf>
    <xf numFmtId="0" fontId="3" fillId="31" borderId="14" xfId="0" applyFont="1" applyFill="1" applyBorder="1" applyAlignment="1">
      <alignment horizontal="center" vertical="center" wrapText="1"/>
    </xf>
    <xf numFmtId="0" fontId="3" fillId="31" borderId="26" xfId="0" applyFont="1" applyFill="1" applyBorder="1" applyAlignment="1">
      <alignment horizontal="right" vertical="center" wrapText="1"/>
    </xf>
    <xf numFmtId="0" fontId="4" fillId="0" borderId="27" xfId="0" applyFont="1" applyBorder="1" applyAlignment="1">
      <alignment horizontal="right" wrapText="1"/>
    </xf>
    <xf numFmtId="177" fontId="3" fillId="0" borderId="26" xfId="33" applyNumberFormat="1" applyFont="1" applyBorder="1" applyAlignment="1">
      <alignment horizontal="right" vertical="center"/>
    </xf>
    <xf numFmtId="177" fontId="3" fillId="0" borderId="14" xfId="33" applyNumberFormat="1" applyFont="1" applyBorder="1" applyAlignment="1">
      <alignment horizontal="right" vertical="center"/>
    </xf>
    <xf numFmtId="177" fontId="3" fillId="0" borderId="11" xfId="33" applyNumberFormat="1" applyFont="1" applyBorder="1" applyAlignment="1">
      <alignment horizontal="right" vertical="center"/>
    </xf>
    <xf numFmtId="177" fontId="3" fillId="0" borderId="12" xfId="33" applyNumberFormat="1" applyFont="1" applyBorder="1" applyAlignment="1">
      <alignment horizontal="right" vertical="center"/>
    </xf>
    <xf numFmtId="177" fontId="3" fillId="0" borderId="28" xfId="33" applyNumberFormat="1" applyFont="1" applyBorder="1" applyAlignment="1">
      <alignment horizontal="right" vertical="center"/>
    </xf>
    <xf numFmtId="177" fontId="3" fillId="0" borderId="29" xfId="33" applyNumberFormat="1" applyFont="1" applyBorder="1" applyAlignment="1">
      <alignment horizontal="right" vertical="center"/>
    </xf>
    <xf numFmtId="177" fontId="3" fillId="0" borderId="30" xfId="33" applyNumberFormat="1" applyFont="1" applyBorder="1" applyAlignment="1">
      <alignment horizontal="right" vertical="center"/>
    </xf>
    <xf numFmtId="177" fontId="3" fillId="0" borderId="31" xfId="33" applyNumberFormat="1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177" fontId="3" fillId="0" borderId="20" xfId="33" applyNumberFormat="1" applyFont="1" applyBorder="1" applyAlignment="1">
      <alignment horizontal="right" vertical="center"/>
    </xf>
    <xf numFmtId="177" fontId="3" fillId="0" borderId="21" xfId="33" applyNumberFormat="1" applyFont="1" applyBorder="1" applyAlignment="1">
      <alignment horizontal="right" vertical="center"/>
    </xf>
    <xf numFmtId="177" fontId="3" fillId="0" borderId="33" xfId="33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right" wrapText="1"/>
    </xf>
    <xf numFmtId="0" fontId="4" fillId="0" borderId="34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33" borderId="38" xfId="0" applyFont="1" applyFill="1" applyBorder="1" applyAlignment="1">
      <alignment horizontal="center" vertical="center" wrapText="1"/>
    </xf>
    <xf numFmtId="0" fontId="3" fillId="31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12" borderId="37" xfId="0" applyFont="1" applyFill="1" applyBorder="1" applyAlignment="1">
      <alignment vertical="center"/>
    </xf>
    <xf numFmtId="0" fontId="4" fillId="32" borderId="14" xfId="0" applyFont="1" applyFill="1" applyBorder="1" applyAlignment="1">
      <alignment horizontal="center" vertical="center" wrapText="1"/>
    </xf>
    <xf numFmtId="181" fontId="3" fillId="0" borderId="0" xfId="0" applyNumberFormat="1" applyFont="1" applyAlignment="1">
      <alignment horizontal="right" vertical="center"/>
    </xf>
    <xf numFmtId="181" fontId="3" fillId="31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181" fontId="4" fillId="0" borderId="11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center" vertical="center"/>
    </xf>
    <xf numFmtId="177" fontId="4" fillId="0" borderId="30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right" vertical="center"/>
    </xf>
    <xf numFmtId="181" fontId="4" fillId="0" borderId="30" xfId="0" applyNumberFormat="1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81" fontId="4" fillId="0" borderId="21" xfId="0" applyNumberFormat="1" applyFont="1" applyBorder="1" applyAlignment="1">
      <alignment horizontal="right" vertical="center"/>
    </xf>
    <xf numFmtId="177" fontId="4" fillId="0" borderId="45" xfId="0" applyNumberFormat="1" applyFont="1" applyBorder="1" applyAlignment="1">
      <alignment horizontal="right" vertical="center"/>
    </xf>
    <xf numFmtId="177" fontId="4" fillId="0" borderId="46" xfId="0" applyNumberFormat="1" applyFont="1" applyBorder="1" applyAlignment="1">
      <alignment horizontal="right" vertical="center"/>
    </xf>
    <xf numFmtId="0" fontId="4" fillId="34" borderId="40" xfId="0" applyFont="1" applyFill="1" applyBorder="1" applyAlignment="1">
      <alignment horizontal="center" vertical="center"/>
    </xf>
    <xf numFmtId="177" fontId="4" fillId="34" borderId="11" xfId="0" applyNumberFormat="1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right" vertical="center"/>
    </xf>
    <xf numFmtId="181" fontId="4" fillId="34" borderId="11" xfId="0" applyNumberFormat="1" applyFont="1" applyFill="1" applyBorder="1" applyAlignment="1">
      <alignment horizontal="right" vertical="center"/>
    </xf>
    <xf numFmtId="0" fontId="4" fillId="34" borderId="41" xfId="0" applyFont="1" applyFill="1" applyBorder="1" applyAlignment="1">
      <alignment horizontal="right" vertical="center"/>
    </xf>
    <xf numFmtId="177" fontId="4" fillId="0" borderId="47" xfId="0" applyNumberFormat="1" applyFont="1" applyBorder="1" applyAlignment="1">
      <alignment horizontal="right" vertical="center"/>
    </xf>
    <xf numFmtId="0" fontId="4" fillId="32" borderId="14" xfId="0" applyFont="1" applyFill="1" applyBorder="1" applyAlignment="1">
      <alignment horizontal="right" vertical="center" wrapText="1"/>
    </xf>
    <xf numFmtId="0" fontId="3" fillId="32" borderId="37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0" fillId="32" borderId="13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177" fontId="13" fillId="0" borderId="11" xfId="0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41" xfId="0" applyFont="1" applyFill="1" applyBorder="1" applyAlignment="1">
      <alignment horizontal="right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4" xfId="0" applyFont="1" applyBorder="1" applyAlignment="1">
      <alignment horizontal="right" vertical="center"/>
    </xf>
    <xf numFmtId="177" fontId="13" fillId="0" borderId="21" xfId="0" applyNumberFormat="1" applyFont="1" applyBorder="1" applyAlignment="1">
      <alignment horizontal="right" vertical="center"/>
    </xf>
    <xf numFmtId="177" fontId="13" fillId="0" borderId="45" xfId="0" applyNumberFormat="1" applyFont="1" applyBorder="1" applyAlignment="1">
      <alignment horizontal="right" vertical="center"/>
    </xf>
    <xf numFmtId="0" fontId="13" fillId="0" borderId="27" xfId="0" applyFont="1" applyBorder="1" applyAlignment="1">
      <alignment horizontal="right" wrapText="1"/>
    </xf>
    <xf numFmtId="177" fontId="13" fillId="0" borderId="46" xfId="0" applyNumberFormat="1" applyFont="1" applyBorder="1" applyAlignment="1">
      <alignment horizontal="right" vertical="center"/>
    </xf>
    <xf numFmtId="177" fontId="13" fillId="0" borderId="47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77" fontId="0" fillId="0" borderId="0" xfId="33" applyNumberFormat="1" applyFont="1" applyAlignment="1">
      <alignment vertical="center"/>
    </xf>
    <xf numFmtId="177" fontId="0" fillId="0" borderId="48" xfId="33" applyNumberFormat="1" applyFont="1" applyBorder="1" applyAlignment="1">
      <alignment vertical="center"/>
    </xf>
    <xf numFmtId="177" fontId="0" fillId="0" borderId="0" xfId="33" applyNumberFormat="1" applyFont="1" applyBorder="1" applyAlignment="1">
      <alignment vertical="center"/>
    </xf>
    <xf numFmtId="0" fontId="0" fillId="0" borderId="48" xfId="0" applyBorder="1" applyAlignment="1">
      <alignment vertical="center"/>
    </xf>
    <xf numFmtId="177" fontId="0" fillId="0" borderId="49" xfId="33" applyNumberFormat="1" applyFont="1" applyBorder="1" applyAlignment="1">
      <alignment vertical="center"/>
    </xf>
    <xf numFmtId="0" fontId="7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13" fillId="0" borderId="21" xfId="0" applyNumberFormat="1" applyFont="1" applyBorder="1" applyAlignment="1">
      <alignment horizontal="right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4" fillId="0" borderId="55" xfId="0" applyFont="1" applyBorder="1" applyAlignment="1">
      <alignment horizontal="center" vertical="center" wrapText="1"/>
    </xf>
    <xf numFmtId="0" fontId="13" fillId="31" borderId="23" xfId="0" applyFont="1" applyFill="1" applyBorder="1" applyAlignment="1">
      <alignment horizontal="center" vertical="center" wrapText="1"/>
    </xf>
    <xf numFmtId="0" fontId="13" fillId="31" borderId="10" xfId="0" applyFont="1" applyFill="1" applyBorder="1" applyAlignment="1">
      <alignment horizontal="center" vertical="center" wrapText="1"/>
    </xf>
    <xf numFmtId="0" fontId="13" fillId="31" borderId="3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3" fillId="0" borderId="56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32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177" fontId="13" fillId="0" borderId="57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vertical="center" wrapText="1"/>
    </xf>
    <xf numFmtId="0" fontId="3" fillId="0" borderId="58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9" xfId="0" applyFont="1" applyBorder="1" applyAlignment="1">
      <alignment vertical="center"/>
    </xf>
    <xf numFmtId="0" fontId="3" fillId="0" borderId="28" xfId="0" applyFont="1" applyFill="1" applyBorder="1" applyAlignment="1">
      <alignment vertical="center" wrapText="1"/>
    </xf>
    <xf numFmtId="0" fontId="4" fillId="0" borderId="53" xfId="0" applyFont="1" applyBorder="1" applyAlignment="1">
      <alignment horizontal="right" vertical="center" wrapText="1"/>
    </xf>
    <xf numFmtId="0" fontId="3" fillId="0" borderId="53" xfId="0" applyFont="1" applyBorder="1" applyAlignment="1">
      <alignment horizontal="right" vertical="center" wrapText="1"/>
    </xf>
    <xf numFmtId="0" fontId="3" fillId="0" borderId="60" xfId="0" applyFont="1" applyBorder="1" applyAlignment="1">
      <alignment horizontal="right" vertical="center" wrapText="1"/>
    </xf>
    <xf numFmtId="177" fontId="13" fillId="0" borderId="17" xfId="0" applyNumberFormat="1" applyFont="1" applyFill="1" applyBorder="1" applyAlignment="1">
      <alignment horizontal="right" vertical="center"/>
    </xf>
    <xf numFmtId="0" fontId="13" fillId="0" borderId="30" xfId="0" applyFont="1" applyFill="1" applyBorder="1" applyAlignment="1">
      <alignment horizontal="right" vertical="center"/>
    </xf>
    <xf numFmtId="184" fontId="13" fillId="0" borderId="11" xfId="0" applyNumberFormat="1" applyFont="1" applyFill="1" applyBorder="1" applyAlignment="1">
      <alignment horizontal="right" vertical="center"/>
    </xf>
    <xf numFmtId="184" fontId="13" fillId="0" borderId="21" xfId="0" applyNumberFormat="1" applyFont="1" applyBorder="1" applyAlignment="1">
      <alignment horizontal="right" vertical="center"/>
    </xf>
    <xf numFmtId="185" fontId="13" fillId="0" borderId="11" xfId="0" applyNumberFormat="1" applyFont="1" applyFill="1" applyBorder="1" applyAlignment="1">
      <alignment horizontal="right" vertical="center"/>
    </xf>
    <xf numFmtId="185" fontId="13" fillId="0" borderId="41" xfId="0" applyNumberFormat="1" applyFont="1" applyFill="1" applyBorder="1" applyAlignment="1">
      <alignment horizontal="right" vertical="center"/>
    </xf>
    <xf numFmtId="185" fontId="13" fillId="0" borderId="21" xfId="0" applyNumberFormat="1" applyFont="1" applyBorder="1" applyAlignment="1">
      <alignment horizontal="right" vertical="center"/>
    </xf>
    <xf numFmtId="185" fontId="13" fillId="0" borderId="45" xfId="0" applyNumberFormat="1" applyFont="1" applyBorder="1" applyAlignment="1">
      <alignment horizontal="right" vertical="center"/>
    </xf>
    <xf numFmtId="185" fontId="13" fillId="0" borderId="46" xfId="0" applyNumberFormat="1" applyFont="1" applyBorder="1" applyAlignment="1">
      <alignment horizontal="right" vertical="center"/>
    </xf>
    <xf numFmtId="185" fontId="13" fillId="0" borderId="57" xfId="0" applyNumberFormat="1" applyFont="1" applyBorder="1" applyAlignment="1">
      <alignment horizontal="right" vertical="center"/>
    </xf>
    <xf numFmtId="0" fontId="3" fillId="0" borderId="61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vertical="center" wrapText="1"/>
    </xf>
    <xf numFmtId="0" fontId="4" fillId="0" borderId="61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3" fillId="0" borderId="26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63" xfId="0" applyFont="1" applyBorder="1" applyAlignment="1">
      <alignment vertical="center" wrapText="1"/>
    </xf>
    <xf numFmtId="0" fontId="3" fillId="0" borderId="64" xfId="0" applyFont="1" applyBorder="1" applyAlignment="1">
      <alignment vertical="center"/>
    </xf>
    <xf numFmtId="0" fontId="3" fillId="0" borderId="61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65" xfId="0" applyFont="1" applyBorder="1" applyAlignment="1">
      <alignment vertical="center" wrapText="1"/>
    </xf>
    <xf numFmtId="0" fontId="10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181" fontId="13" fillId="0" borderId="11" xfId="0" applyNumberFormat="1" applyFont="1" applyFill="1" applyBorder="1" applyAlignment="1">
      <alignment horizontal="right" vertical="center"/>
    </xf>
    <xf numFmtId="0" fontId="3" fillId="21" borderId="26" xfId="0" applyFont="1" applyFill="1" applyBorder="1" applyAlignment="1">
      <alignment vertical="center" wrapText="1"/>
    </xf>
    <xf numFmtId="0" fontId="10" fillId="0" borderId="6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7" xfId="0" applyFont="1" applyBorder="1" applyAlignment="1">
      <alignment vertical="center"/>
    </xf>
    <xf numFmtId="0" fontId="3" fillId="0" borderId="63" xfId="0" applyFont="1" applyFill="1" applyBorder="1" applyAlignment="1">
      <alignment vertical="center" wrapText="1"/>
    </xf>
    <xf numFmtId="0" fontId="3" fillId="0" borderId="68" xfId="0" applyFont="1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3" fillId="0" borderId="68" xfId="0" applyFont="1" applyBorder="1" applyAlignment="1">
      <alignment vertical="center" wrapText="1"/>
    </xf>
    <xf numFmtId="185" fontId="13" fillId="0" borderId="43" xfId="0" applyNumberFormat="1" applyFont="1" applyFill="1" applyBorder="1" applyAlignment="1">
      <alignment horizontal="right" vertical="center"/>
    </xf>
    <xf numFmtId="0" fontId="13" fillId="35" borderId="40" xfId="0" applyFont="1" applyFill="1" applyBorder="1" applyAlignment="1">
      <alignment horizontal="center" vertical="center"/>
    </xf>
    <xf numFmtId="185" fontId="13" fillId="35" borderId="11" xfId="0" applyNumberFormat="1" applyFont="1" applyFill="1" applyBorder="1" applyAlignment="1">
      <alignment horizontal="right" vertical="center"/>
    </xf>
    <xf numFmtId="0" fontId="0" fillId="35" borderId="0" xfId="0" applyFill="1" applyAlignment="1">
      <alignment vertical="center"/>
    </xf>
    <xf numFmtId="0" fontId="0" fillId="0" borderId="0" xfId="0" applyFill="1" applyAlignment="1">
      <alignment vertical="center"/>
    </xf>
    <xf numFmtId="185" fontId="13" fillId="35" borderId="41" xfId="0" applyNumberFormat="1" applyFont="1" applyFill="1" applyBorder="1" applyAlignment="1">
      <alignment horizontal="right" vertical="center"/>
    </xf>
    <xf numFmtId="0" fontId="8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69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/>
    </xf>
    <xf numFmtId="0" fontId="3" fillId="32" borderId="64" xfId="0" applyFont="1" applyFill="1" applyBorder="1" applyAlignment="1">
      <alignment horizontal="center" vertical="center"/>
    </xf>
    <xf numFmtId="0" fontId="3" fillId="32" borderId="53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wrapText="1"/>
    </xf>
    <xf numFmtId="187" fontId="3" fillId="0" borderId="26" xfId="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1" fontId="3" fillId="0" borderId="61" xfId="0" applyNumberFormat="1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vertical="center" wrapText="1"/>
    </xf>
    <xf numFmtId="0" fontId="13" fillId="36" borderId="44" xfId="0" applyFont="1" applyFill="1" applyBorder="1" applyAlignment="1">
      <alignment horizontal="right" vertical="center"/>
    </xf>
    <xf numFmtId="184" fontId="13" fillId="36" borderId="21" xfId="0" applyNumberFormat="1" applyFont="1" applyFill="1" applyBorder="1" applyAlignment="1">
      <alignment horizontal="right" vertical="center"/>
    </xf>
    <xf numFmtId="185" fontId="13" fillId="36" borderId="21" xfId="0" applyNumberFormat="1" applyFont="1" applyFill="1" applyBorder="1" applyAlignment="1">
      <alignment horizontal="right" vertical="center"/>
    </xf>
    <xf numFmtId="185" fontId="13" fillId="36" borderId="45" xfId="0" applyNumberFormat="1" applyFont="1" applyFill="1" applyBorder="1" applyAlignment="1">
      <alignment horizontal="right" vertical="center"/>
    </xf>
    <xf numFmtId="0" fontId="13" fillId="36" borderId="27" xfId="0" applyFont="1" applyFill="1" applyBorder="1" applyAlignment="1">
      <alignment horizontal="right" wrapText="1"/>
    </xf>
    <xf numFmtId="185" fontId="13" fillId="36" borderId="46" xfId="0" applyNumberFormat="1" applyFont="1" applyFill="1" applyBorder="1" applyAlignment="1">
      <alignment horizontal="right" vertical="center"/>
    </xf>
    <xf numFmtId="185" fontId="13" fillId="36" borderId="57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/>
    </xf>
    <xf numFmtId="177" fontId="0" fillId="0" borderId="0" xfId="33" applyNumberFormat="1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V16"/>
  <sheetViews>
    <sheetView zoomScale="82" zoomScaleNormal="82" zoomScalePageLayoutView="0" workbookViewId="0" topLeftCell="A1">
      <pane ySplit="2" topLeftCell="A3" activePane="bottomLeft" state="frozen"/>
      <selection pane="topLeft" activeCell="K15" sqref="K15"/>
      <selection pane="bottomLeft" activeCell="N9" sqref="N9"/>
    </sheetView>
  </sheetViews>
  <sheetFormatPr defaultColWidth="4.875" defaultRowHeight="16.5"/>
  <cols>
    <col min="1" max="1" width="6.75390625" style="1" customWidth="1"/>
    <col min="2" max="3" width="9.375" style="4" customWidth="1"/>
    <col min="4" max="5" width="6.00390625" style="4" customWidth="1"/>
    <col min="6" max="6" width="8.25390625" style="4" customWidth="1"/>
    <col min="7" max="8" width="6.00390625" style="4" customWidth="1"/>
    <col min="9" max="10" width="3.75390625" style="4" customWidth="1"/>
    <col min="11" max="11" width="6.00390625" style="4" customWidth="1"/>
    <col min="12" max="12" width="9.375" style="4" customWidth="1"/>
    <col min="13" max="15" width="3.75390625" style="4" customWidth="1"/>
    <col min="16" max="18" width="6.00390625" style="4" customWidth="1"/>
    <col min="19" max="19" width="3.75390625" style="4" customWidth="1"/>
    <col min="20" max="20" width="4.875" style="4" customWidth="1"/>
    <col min="21" max="21" width="6.00390625" style="4" customWidth="1"/>
    <col min="22" max="22" width="9.375" style="4" customWidth="1"/>
    <col min="23" max="16384" width="4.875" style="4" customWidth="1"/>
  </cols>
  <sheetData>
    <row r="1" ht="9" customHeight="1"/>
    <row r="2" spans="1:22" ht="48" customHeight="1">
      <c r="A2" s="46" t="s">
        <v>0</v>
      </c>
      <c r="B2" s="4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30</v>
      </c>
      <c r="S2" s="5" t="s">
        <v>17</v>
      </c>
      <c r="T2" s="5" t="s">
        <v>28</v>
      </c>
      <c r="U2" s="5" t="s">
        <v>18</v>
      </c>
      <c r="V2" s="6" t="s">
        <v>31</v>
      </c>
    </row>
    <row r="3" spans="1:22" s="7" customFormat="1" ht="19.5" customHeight="1">
      <c r="A3" s="48">
        <v>1</v>
      </c>
      <c r="B3" s="49">
        <f>SUM(C3:V3)</f>
        <v>2234</v>
      </c>
      <c r="C3" s="50">
        <v>1421</v>
      </c>
      <c r="D3" s="50">
        <v>14</v>
      </c>
      <c r="E3" s="50">
        <v>40</v>
      </c>
      <c r="F3" s="50"/>
      <c r="G3" s="50">
        <v>69</v>
      </c>
      <c r="H3" s="50">
        <v>18</v>
      </c>
      <c r="I3" s="50"/>
      <c r="J3" s="50"/>
      <c r="K3" s="50"/>
      <c r="L3" s="50"/>
      <c r="M3" s="50"/>
      <c r="N3" s="50"/>
      <c r="O3" s="50"/>
      <c r="P3" s="50">
        <v>15</v>
      </c>
      <c r="Q3" s="50"/>
      <c r="R3" s="50">
        <v>58</v>
      </c>
      <c r="S3" s="50"/>
      <c r="T3" s="50">
        <v>10</v>
      </c>
      <c r="U3" s="50">
        <v>85</v>
      </c>
      <c r="V3" s="51">
        <v>504</v>
      </c>
    </row>
    <row r="4" spans="1:22" s="7" customFormat="1" ht="19.5" customHeight="1">
      <c r="A4" s="48">
        <v>2</v>
      </c>
      <c r="B4" s="49">
        <f aca="true" t="shared" si="0" ref="B4:B14">SUM(C4:V4)</f>
        <v>4109</v>
      </c>
      <c r="C4" s="50">
        <v>409</v>
      </c>
      <c r="D4" s="50">
        <v>3</v>
      </c>
      <c r="E4" s="50">
        <v>13</v>
      </c>
      <c r="F4" s="50"/>
      <c r="G4" s="50"/>
      <c r="H4" s="50"/>
      <c r="I4" s="50"/>
      <c r="J4" s="50"/>
      <c r="K4" s="50">
        <v>140</v>
      </c>
      <c r="L4" s="50">
        <v>3252</v>
      </c>
      <c r="M4" s="50"/>
      <c r="N4" s="50"/>
      <c r="O4" s="50"/>
      <c r="P4" s="50"/>
      <c r="Q4" s="50">
        <v>250</v>
      </c>
      <c r="R4" s="50"/>
      <c r="S4" s="50"/>
      <c r="T4" s="50"/>
      <c r="U4" s="50">
        <v>42</v>
      </c>
      <c r="V4" s="51"/>
    </row>
    <row r="5" spans="1:22" s="7" customFormat="1" ht="19.5" customHeight="1">
      <c r="A5" s="48">
        <v>3</v>
      </c>
      <c r="B5" s="49">
        <f t="shared" si="0"/>
        <v>0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1"/>
    </row>
    <row r="6" spans="1:22" s="7" customFormat="1" ht="19.5" customHeight="1">
      <c r="A6" s="48">
        <v>4</v>
      </c>
      <c r="B6" s="49">
        <f t="shared" si="0"/>
        <v>7046</v>
      </c>
      <c r="C6" s="50">
        <v>1731</v>
      </c>
      <c r="D6" s="50">
        <v>4</v>
      </c>
      <c r="E6" s="50">
        <v>60</v>
      </c>
      <c r="F6" s="50">
        <v>1000</v>
      </c>
      <c r="G6" s="50">
        <v>124</v>
      </c>
      <c r="H6" s="50"/>
      <c r="I6" s="50"/>
      <c r="J6" s="50"/>
      <c r="K6" s="50">
        <v>24</v>
      </c>
      <c r="L6" s="50">
        <v>2540</v>
      </c>
      <c r="M6" s="50"/>
      <c r="N6" s="50"/>
      <c r="O6" s="50"/>
      <c r="P6" s="50">
        <v>10</v>
      </c>
      <c r="Q6" s="50"/>
      <c r="R6" s="50">
        <v>115</v>
      </c>
      <c r="S6" s="50"/>
      <c r="T6" s="50">
        <v>10</v>
      </c>
      <c r="U6" s="50">
        <v>84</v>
      </c>
      <c r="V6" s="51">
        <v>1344</v>
      </c>
    </row>
    <row r="7" spans="1:22" s="7" customFormat="1" ht="19.5" customHeight="1">
      <c r="A7" s="48">
        <v>5</v>
      </c>
      <c r="B7" s="49">
        <f t="shared" si="0"/>
        <v>6263</v>
      </c>
      <c r="C7" s="50">
        <v>1668</v>
      </c>
      <c r="D7" s="50">
        <v>15</v>
      </c>
      <c r="E7" s="50">
        <v>50</v>
      </c>
      <c r="F7" s="50">
        <v>600</v>
      </c>
      <c r="G7" s="50"/>
      <c r="H7" s="50">
        <v>133</v>
      </c>
      <c r="I7" s="50"/>
      <c r="J7" s="50"/>
      <c r="K7" s="50">
        <v>50</v>
      </c>
      <c r="L7" s="50">
        <v>1596</v>
      </c>
      <c r="M7" s="50"/>
      <c r="N7" s="50"/>
      <c r="O7" s="50"/>
      <c r="P7" s="50">
        <v>16</v>
      </c>
      <c r="Q7" s="50"/>
      <c r="R7" s="50">
        <v>118</v>
      </c>
      <c r="S7" s="50"/>
      <c r="T7" s="50">
        <v>5</v>
      </c>
      <c r="U7" s="50">
        <v>70</v>
      </c>
      <c r="V7" s="51">
        <v>1942</v>
      </c>
    </row>
    <row r="8" spans="1:22" s="7" customFormat="1" ht="19.5" customHeight="1">
      <c r="A8" s="48">
        <v>6</v>
      </c>
      <c r="B8" s="49">
        <f t="shared" si="0"/>
        <v>5471</v>
      </c>
      <c r="C8" s="50">
        <v>1991</v>
      </c>
      <c r="D8" s="50">
        <v>9</v>
      </c>
      <c r="E8" s="50">
        <v>40</v>
      </c>
      <c r="F8" s="50">
        <v>170</v>
      </c>
      <c r="G8" s="50">
        <v>106</v>
      </c>
      <c r="H8" s="50">
        <v>10</v>
      </c>
      <c r="I8" s="50"/>
      <c r="J8" s="50"/>
      <c r="K8" s="50">
        <v>85</v>
      </c>
      <c r="L8" s="50">
        <v>1476</v>
      </c>
      <c r="M8" s="50"/>
      <c r="N8" s="50"/>
      <c r="O8" s="50"/>
      <c r="P8" s="50">
        <v>18</v>
      </c>
      <c r="Q8" s="50"/>
      <c r="R8" s="50">
        <v>62</v>
      </c>
      <c r="S8" s="50"/>
      <c r="T8" s="50">
        <v>16</v>
      </c>
      <c r="U8" s="50">
        <v>60</v>
      </c>
      <c r="V8" s="51">
        <v>1428</v>
      </c>
    </row>
    <row r="9" spans="1:22" s="7" customFormat="1" ht="19.5" customHeight="1">
      <c r="A9" s="48">
        <v>7</v>
      </c>
      <c r="B9" s="49">
        <f t="shared" si="0"/>
        <v>2514</v>
      </c>
      <c r="C9" s="50">
        <v>2052</v>
      </c>
      <c r="D9" s="50">
        <v>8</v>
      </c>
      <c r="E9" s="50">
        <v>32</v>
      </c>
      <c r="F9" s="50">
        <v>120</v>
      </c>
      <c r="G9" s="50">
        <v>78</v>
      </c>
      <c r="H9" s="50">
        <v>12</v>
      </c>
      <c r="I9" s="50"/>
      <c r="J9" s="50"/>
      <c r="K9" s="50">
        <v>50</v>
      </c>
      <c r="L9" s="50">
        <v>56</v>
      </c>
      <c r="M9" s="50"/>
      <c r="N9" s="50"/>
      <c r="O9" s="50"/>
      <c r="P9" s="50">
        <v>7</v>
      </c>
      <c r="Q9" s="50"/>
      <c r="R9" s="50">
        <v>50</v>
      </c>
      <c r="S9" s="50"/>
      <c r="T9" s="50">
        <v>18</v>
      </c>
      <c r="U9" s="50">
        <v>31</v>
      </c>
      <c r="V9" s="51"/>
    </row>
    <row r="10" spans="1:22" s="7" customFormat="1" ht="19.5" customHeight="1">
      <c r="A10" s="48">
        <v>8</v>
      </c>
      <c r="B10" s="49">
        <f t="shared" si="0"/>
        <v>2646.5</v>
      </c>
      <c r="C10" s="50">
        <v>1660</v>
      </c>
      <c r="D10" s="50">
        <v>6</v>
      </c>
      <c r="E10" s="50">
        <v>26</v>
      </c>
      <c r="F10" s="50">
        <v>624</v>
      </c>
      <c r="G10" s="50">
        <v>41</v>
      </c>
      <c r="H10" s="50">
        <v>20</v>
      </c>
      <c r="I10" s="50"/>
      <c r="J10" s="50"/>
      <c r="K10" s="50">
        <v>76</v>
      </c>
      <c r="L10" s="50">
        <v>98</v>
      </c>
      <c r="M10" s="50"/>
      <c r="N10" s="50"/>
      <c r="O10" s="50"/>
      <c r="P10" s="50">
        <v>8</v>
      </c>
      <c r="Q10" s="50"/>
      <c r="R10" s="50">
        <v>41</v>
      </c>
      <c r="S10" s="50"/>
      <c r="T10" s="50">
        <v>4</v>
      </c>
      <c r="U10" s="50">
        <v>42.5</v>
      </c>
      <c r="V10" s="51"/>
    </row>
    <row r="11" spans="1:22" s="7" customFormat="1" ht="19.5" customHeight="1">
      <c r="A11" s="48">
        <v>9</v>
      </c>
      <c r="B11" s="49">
        <f t="shared" si="0"/>
        <v>6271</v>
      </c>
      <c r="C11" s="50">
        <v>1972</v>
      </c>
      <c r="D11" s="50">
        <v>10</v>
      </c>
      <c r="E11" s="50">
        <v>38</v>
      </c>
      <c r="F11" s="50">
        <v>724</v>
      </c>
      <c r="G11" s="50">
        <v>65</v>
      </c>
      <c r="H11" s="50">
        <v>30</v>
      </c>
      <c r="I11" s="50"/>
      <c r="J11" s="50"/>
      <c r="K11" s="50"/>
      <c r="L11" s="50">
        <v>2352</v>
      </c>
      <c r="M11" s="50"/>
      <c r="N11" s="50"/>
      <c r="O11" s="50"/>
      <c r="P11" s="50"/>
      <c r="Q11" s="50"/>
      <c r="R11" s="50">
        <v>272</v>
      </c>
      <c r="S11" s="50"/>
      <c r="T11" s="50">
        <v>1</v>
      </c>
      <c r="U11" s="50">
        <v>51</v>
      </c>
      <c r="V11" s="51">
        <v>756</v>
      </c>
    </row>
    <row r="12" spans="1:22" s="7" customFormat="1" ht="19.5" customHeight="1">
      <c r="A12" s="48">
        <v>10</v>
      </c>
      <c r="B12" s="49">
        <f t="shared" si="0"/>
        <v>5894.1</v>
      </c>
      <c r="C12" s="50">
        <v>2348</v>
      </c>
      <c r="D12" s="50">
        <v>11</v>
      </c>
      <c r="E12" s="50">
        <v>45</v>
      </c>
      <c r="F12" s="50">
        <v>0.6</v>
      </c>
      <c r="G12" s="50">
        <v>95</v>
      </c>
      <c r="H12" s="50">
        <v>50</v>
      </c>
      <c r="I12" s="50"/>
      <c r="J12" s="50"/>
      <c r="K12" s="50">
        <v>90</v>
      </c>
      <c r="L12" s="50">
        <v>1324</v>
      </c>
      <c r="M12" s="50"/>
      <c r="N12" s="50"/>
      <c r="O12" s="50"/>
      <c r="P12" s="50">
        <v>4.5</v>
      </c>
      <c r="Q12" s="50"/>
      <c r="R12" s="50"/>
      <c r="S12" s="50"/>
      <c r="T12" s="50">
        <v>5.5</v>
      </c>
      <c r="U12" s="50">
        <v>72.5</v>
      </c>
      <c r="V12" s="51">
        <v>1848</v>
      </c>
    </row>
    <row r="13" spans="1:22" s="7" customFormat="1" ht="19.5" customHeight="1">
      <c r="A13" s="48">
        <v>11</v>
      </c>
      <c r="B13" s="49">
        <f t="shared" si="0"/>
        <v>6714</v>
      </c>
      <c r="C13" s="50">
        <v>1768</v>
      </c>
      <c r="D13" s="50">
        <v>16</v>
      </c>
      <c r="E13" s="50">
        <v>62</v>
      </c>
      <c r="F13" s="50">
        <v>550</v>
      </c>
      <c r="G13" s="50">
        <v>60</v>
      </c>
      <c r="H13" s="50">
        <v>59</v>
      </c>
      <c r="I13" s="50"/>
      <c r="J13" s="50"/>
      <c r="K13" s="50">
        <v>236</v>
      </c>
      <c r="L13" s="50">
        <v>1912</v>
      </c>
      <c r="M13" s="50"/>
      <c r="N13" s="50"/>
      <c r="O13" s="50"/>
      <c r="P13" s="50">
        <v>12</v>
      </c>
      <c r="Q13" s="50"/>
      <c r="R13" s="50">
        <v>94</v>
      </c>
      <c r="S13" s="50"/>
      <c r="T13" s="50">
        <v>10</v>
      </c>
      <c r="U13" s="50">
        <v>87</v>
      </c>
      <c r="V13" s="51">
        <v>1848</v>
      </c>
    </row>
    <row r="14" spans="1:22" s="7" customFormat="1" ht="19.5" customHeight="1" thickBot="1">
      <c r="A14" s="52">
        <v>12</v>
      </c>
      <c r="B14" s="53">
        <f t="shared" si="0"/>
        <v>5449</v>
      </c>
      <c r="C14" s="54">
        <v>2134</v>
      </c>
      <c r="D14" s="54">
        <v>13</v>
      </c>
      <c r="E14" s="54">
        <v>49</v>
      </c>
      <c r="F14" s="54">
        <v>300</v>
      </c>
      <c r="G14" s="54">
        <v>70</v>
      </c>
      <c r="H14" s="54">
        <v>65</v>
      </c>
      <c r="I14" s="54"/>
      <c r="J14" s="54"/>
      <c r="K14" s="54">
        <v>176</v>
      </c>
      <c r="L14" s="54">
        <v>775</v>
      </c>
      <c r="M14" s="54"/>
      <c r="N14" s="54"/>
      <c r="O14" s="54"/>
      <c r="P14" s="54">
        <v>11</v>
      </c>
      <c r="Q14" s="54"/>
      <c r="R14" s="54">
        <v>115</v>
      </c>
      <c r="S14" s="54"/>
      <c r="T14" s="54">
        <v>1</v>
      </c>
      <c r="U14" s="54">
        <v>60</v>
      </c>
      <c r="V14" s="55">
        <v>1680</v>
      </c>
    </row>
    <row r="15" spans="1:22" s="7" customFormat="1" ht="30" customHeight="1" thickTop="1">
      <c r="A15" s="56" t="s">
        <v>27</v>
      </c>
      <c r="B15" s="57">
        <f>SUM(B3:B14)</f>
        <v>54611.6</v>
      </c>
      <c r="C15" s="58">
        <f aca="true" t="shared" si="1" ref="C15:V15">SUM(C3:C14)</f>
        <v>19154</v>
      </c>
      <c r="D15" s="58">
        <f t="shared" si="1"/>
        <v>109</v>
      </c>
      <c r="E15" s="58">
        <f t="shared" si="1"/>
        <v>455</v>
      </c>
      <c r="F15" s="58">
        <f t="shared" si="1"/>
        <v>4088.6</v>
      </c>
      <c r="G15" s="58">
        <f t="shared" si="1"/>
        <v>708</v>
      </c>
      <c r="H15" s="58">
        <f t="shared" si="1"/>
        <v>397</v>
      </c>
      <c r="I15" s="58">
        <f t="shared" si="1"/>
        <v>0</v>
      </c>
      <c r="J15" s="58">
        <f t="shared" si="1"/>
        <v>0</v>
      </c>
      <c r="K15" s="58">
        <f t="shared" si="1"/>
        <v>927</v>
      </c>
      <c r="L15" s="58">
        <f t="shared" si="1"/>
        <v>15381</v>
      </c>
      <c r="M15" s="58">
        <f t="shared" si="1"/>
        <v>0</v>
      </c>
      <c r="N15" s="58">
        <f t="shared" si="1"/>
        <v>0</v>
      </c>
      <c r="O15" s="58">
        <f t="shared" si="1"/>
        <v>0</v>
      </c>
      <c r="P15" s="58">
        <f t="shared" si="1"/>
        <v>101.5</v>
      </c>
      <c r="Q15" s="58">
        <f t="shared" si="1"/>
        <v>250</v>
      </c>
      <c r="R15" s="58">
        <f t="shared" si="1"/>
        <v>925</v>
      </c>
      <c r="S15" s="58">
        <f t="shared" si="1"/>
        <v>0</v>
      </c>
      <c r="T15" s="58">
        <f t="shared" si="1"/>
        <v>80.5</v>
      </c>
      <c r="U15" s="58">
        <f t="shared" si="1"/>
        <v>685</v>
      </c>
      <c r="V15" s="59">
        <f t="shared" si="1"/>
        <v>11350</v>
      </c>
    </row>
    <row r="16" spans="1:22" s="7" customFormat="1" ht="30" customHeight="1">
      <c r="A16" s="60" t="s">
        <v>48</v>
      </c>
      <c r="B16" s="49">
        <f>B15/12</f>
        <v>4550.966666666666</v>
      </c>
      <c r="C16" s="50">
        <f aca="true" t="shared" si="2" ref="C16:V16">C15/12</f>
        <v>1596.1666666666667</v>
      </c>
      <c r="D16" s="50">
        <f t="shared" si="2"/>
        <v>9.083333333333334</v>
      </c>
      <c r="E16" s="50">
        <f t="shared" si="2"/>
        <v>37.916666666666664</v>
      </c>
      <c r="F16" s="50">
        <f t="shared" si="2"/>
        <v>340.71666666666664</v>
      </c>
      <c r="G16" s="50">
        <f t="shared" si="2"/>
        <v>59</v>
      </c>
      <c r="H16" s="50">
        <f t="shared" si="2"/>
        <v>33.083333333333336</v>
      </c>
      <c r="I16" s="50">
        <f t="shared" si="2"/>
        <v>0</v>
      </c>
      <c r="J16" s="50">
        <f t="shared" si="2"/>
        <v>0</v>
      </c>
      <c r="K16" s="50">
        <f t="shared" si="2"/>
        <v>77.25</v>
      </c>
      <c r="L16" s="50">
        <f t="shared" si="2"/>
        <v>1281.75</v>
      </c>
      <c r="M16" s="50">
        <f t="shared" si="2"/>
        <v>0</v>
      </c>
      <c r="N16" s="50">
        <f t="shared" si="2"/>
        <v>0</v>
      </c>
      <c r="O16" s="50">
        <f t="shared" si="2"/>
        <v>0</v>
      </c>
      <c r="P16" s="50">
        <f t="shared" si="2"/>
        <v>8.458333333333334</v>
      </c>
      <c r="Q16" s="50">
        <f t="shared" si="2"/>
        <v>20.833333333333332</v>
      </c>
      <c r="R16" s="50">
        <f t="shared" si="2"/>
        <v>77.08333333333333</v>
      </c>
      <c r="S16" s="50">
        <f t="shared" si="2"/>
        <v>0</v>
      </c>
      <c r="T16" s="50">
        <f t="shared" si="2"/>
        <v>6.708333333333333</v>
      </c>
      <c r="U16" s="50">
        <f t="shared" si="2"/>
        <v>57.083333333333336</v>
      </c>
      <c r="V16" s="51">
        <f t="shared" si="2"/>
        <v>945.8333333333334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V15"/>
  <sheetViews>
    <sheetView zoomScalePageLayoutView="0" workbookViewId="0" topLeftCell="A1">
      <selection activeCell="E17" sqref="E17"/>
    </sheetView>
  </sheetViews>
  <sheetFormatPr defaultColWidth="9.00390625" defaultRowHeight="16.5"/>
  <cols>
    <col min="2" max="2" width="9.375" style="0" bestFit="1" customWidth="1"/>
  </cols>
  <sheetData>
    <row r="1" spans="1:22" ht="60">
      <c r="A1" s="136" t="s">
        <v>149</v>
      </c>
      <c r="B1" s="137" t="s">
        <v>50</v>
      </c>
      <c r="C1" s="137" t="s">
        <v>2</v>
      </c>
      <c r="D1" s="137" t="s">
        <v>3</v>
      </c>
      <c r="E1" s="137" t="s">
        <v>4</v>
      </c>
      <c r="F1" s="137" t="s">
        <v>20</v>
      </c>
      <c r="G1" s="137" t="s">
        <v>36</v>
      </c>
      <c r="H1" s="137" t="s">
        <v>21</v>
      </c>
      <c r="I1" s="137" t="s">
        <v>22</v>
      </c>
      <c r="J1" s="137" t="s">
        <v>9</v>
      </c>
      <c r="K1" s="137" t="s">
        <v>10</v>
      </c>
      <c r="L1" s="137" t="s">
        <v>11</v>
      </c>
      <c r="M1" s="137" t="s">
        <v>12</v>
      </c>
      <c r="N1" s="137" t="s">
        <v>13</v>
      </c>
      <c r="O1" s="137" t="s">
        <v>14</v>
      </c>
      <c r="P1" s="137" t="s">
        <v>15</v>
      </c>
      <c r="Q1" s="137" t="s">
        <v>23</v>
      </c>
      <c r="R1" s="137" t="s">
        <v>60</v>
      </c>
      <c r="S1" s="137" t="s">
        <v>54</v>
      </c>
      <c r="T1" s="137" t="s">
        <v>25</v>
      </c>
      <c r="U1" s="137" t="s">
        <v>26</v>
      </c>
      <c r="V1" s="138" t="s">
        <v>49</v>
      </c>
    </row>
    <row r="2" spans="1:22" ht="16.5">
      <c r="A2" s="109">
        <v>1</v>
      </c>
      <c r="B2" s="165">
        <f>SUM(C2:V2)</f>
        <v>6035.799999999999</v>
      </c>
      <c r="C2" s="165">
        <f>'AZ'!D94+'GS事務組'!E94+'GM資產組'!D94</f>
        <v>465.9</v>
      </c>
      <c r="D2" s="165">
        <f>'AZ'!E94+'GS事務組'!F94+'GM資產組'!E94</f>
        <v>0</v>
      </c>
      <c r="E2" s="165">
        <f>'AZ'!F94+'GS事務組'!G94+'GM資產組'!F94</f>
        <v>34</v>
      </c>
      <c r="F2" s="165">
        <f>'AZ'!G94+'GS事務組'!H94+'GM資產組'!G94</f>
        <v>5200</v>
      </c>
      <c r="G2" s="165">
        <f>'AZ'!H94+'GS事務組'!I94+'GM資產組'!H94</f>
        <v>0</v>
      </c>
      <c r="H2" s="165">
        <f>'AZ'!I94+'GS事務組'!J94+'GM資產組'!I94</f>
        <v>152.9</v>
      </c>
      <c r="I2" s="165">
        <f>'AZ'!J94+'GS事務組'!K94+'GM資產組'!J94</f>
        <v>0</v>
      </c>
      <c r="J2" s="165">
        <f>'AZ'!K94+'GS事務組'!L94+'GM資產組'!K94</f>
        <v>0</v>
      </c>
      <c r="K2" s="165">
        <f>'AZ'!L94+'GS事務組'!M94+'GM資產組'!L94</f>
        <v>0</v>
      </c>
      <c r="L2" s="165">
        <f>'AZ'!M94+'GS事務組'!N94+'GM資產組'!M94</f>
        <v>0</v>
      </c>
      <c r="M2" s="165">
        <f>'AZ'!N94+'GS事務組'!O94+'GM資產組'!N94</f>
        <v>0</v>
      </c>
      <c r="N2" s="165">
        <f>'AZ'!O94+'GS事務組'!P94+'GM資產組'!O94</f>
        <v>183</v>
      </c>
      <c r="O2" s="165">
        <f>'AZ'!P94+'GS事務組'!Q94+'GM資產組'!P94</f>
        <v>0</v>
      </c>
      <c r="P2" s="165">
        <f>'AZ'!Q94+'GS事務組'!R94+'GM資產組'!Q94</f>
        <v>0</v>
      </c>
      <c r="Q2" s="165">
        <f>'AZ'!R94+'GS事務組'!S94+'GM資產組'!R94</f>
        <v>0</v>
      </c>
      <c r="R2" s="165">
        <f>'AZ'!S94+'GS事務組'!T94+'GM資產組'!S94</f>
        <v>0</v>
      </c>
      <c r="S2" s="165">
        <f>'AZ'!T94+'GS事務組'!U94+'GM資產組'!T94</f>
        <v>0</v>
      </c>
      <c r="T2" s="165">
        <f>'AZ'!U94+'GS事務組'!V94+'GM資產組'!U94</f>
        <v>0</v>
      </c>
      <c r="U2" s="165">
        <f>'AZ'!V94+'GS事務組'!W94+'GM資產組'!V94</f>
        <v>0</v>
      </c>
      <c r="V2" s="165">
        <f>'AZ'!W94+'GS事務組'!X94+'GM資產組'!W94</f>
        <v>0</v>
      </c>
    </row>
    <row r="3" spans="1:22" ht="16.5">
      <c r="A3" s="109">
        <v>2</v>
      </c>
      <c r="B3" s="165">
        <f aca="true" t="shared" si="0" ref="B3:B13">SUM(C3:V3)</f>
        <v>695.3</v>
      </c>
      <c r="C3" s="165">
        <f>'AZ'!D95+'GS事務組'!E95+'GM資產組'!D95</f>
        <v>314</v>
      </c>
      <c r="D3" s="165">
        <f>'AZ'!E95+'GS事務組'!F95+'GM資產組'!E95</f>
        <v>0</v>
      </c>
      <c r="E3" s="165">
        <f>'AZ'!F95+'GS事務組'!G95+'GM資產組'!F95</f>
        <v>29.8</v>
      </c>
      <c r="F3" s="165">
        <f>'AZ'!G95+'GS事務組'!H95+'GM資產組'!G95</f>
        <v>100</v>
      </c>
      <c r="G3" s="165">
        <f>'AZ'!H95+'GS事務組'!I95+'GM資產組'!H95</f>
        <v>0</v>
      </c>
      <c r="H3" s="165">
        <f>'AZ'!I95+'GS事務組'!J95+'GM資產組'!I95</f>
        <v>62.8</v>
      </c>
      <c r="I3" s="165">
        <f>'AZ'!J95+'GS事務組'!K95+'GM資產組'!J95</f>
        <v>0</v>
      </c>
      <c r="J3" s="165">
        <f>'AZ'!K95+'GS事務組'!L95+'GM資產組'!K95</f>
        <v>0</v>
      </c>
      <c r="K3" s="165">
        <f>'AZ'!L95+'GS事務組'!M95+'GM資產組'!L95</f>
        <v>0</v>
      </c>
      <c r="L3" s="165">
        <f>'AZ'!M95+'GS事務組'!N95+'GM資產組'!M95</f>
        <v>0</v>
      </c>
      <c r="M3" s="165">
        <f>'AZ'!N95+'GS事務組'!O95+'GM資產組'!N95</f>
        <v>0</v>
      </c>
      <c r="N3" s="165">
        <f>'AZ'!O95+'GS事務組'!P95+'GM資產組'!O95</f>
        <v>188.7</v>
      </c>
      <c r="O3" s="165">
        <f>'AZ'!P95+'GS事務組'!Q95+'GM資產組'!P95</f>
        <v>0</v>
      </c>
      <c r="P3" s="165">
        <f>'AZ'!Q95+'GS事務組'!R95+'GM資產組'!Q95</f>
        <v>0</v>
      </c>
      <c r="Q3" s="165">
        <f>'AZ'!R95+'GS事務組'!S95+'GM資產組'!R95</f>
        <v>0</v>
      </c>
      <c r="R3" s="165">
        <f>'AZ'!S95+'GS事務組'!T95+'GM資產組'!S95</f>
        <v>0</v>
      </c>
      <c r="S3" s="165">
        <f>'AZ'!T95+'GS事務組'!U95+'GM資產組'!T95</f>
        <v>0</v>
      </c>
      <c r="T3" s="165">
        <f>'AZ'!U95+'GS事務組'!V95+'GM資產組'!U95</f>
        <v>0</v>
      </c>
      <c r="U3" s="165">
        <f>'AZ'!V95+'GS事務組'!W95+'GM資產組'!V95</f>
        <v>0</v>
      </c>
      <c r="V3" s="165">
        <f>'AZ'!W95+'GS事務組'!X95+'GM資產組'!W95</f>
        <v>0</v>
      </c>
    </row>
    <row r="4" spans="1:22" ht="16.5">
      <c r="A4" s="109">
        <v>3</v>
      </c>
      <c r="B4" s="165">
        <f t="shared" si="0"/>
        <v>3025.4</v>
      </c>
      <c r="C4" s="165">
        <f>'AZ'!D96+'GS事務組'!E96+'GM資產組'!D96</f>
        <v>1172.4</v>
      </c>
      <c r="D4" s="165">
        <f>'AZ'!E96+'GS事務組'!F96+'GM資產組'!E96</f>
        <v>0</v>
      </c>
      <c r="E4" s="165">
        <f>'AZ'!F96+'GS事務組'!G96+'GM資產組'!F96</f>
        <v>99.5</v>
      </c>
      <c r="F4" s="165">
        <f>'AZ'!G96+'GS事務組'!H96+'GM資產組'!G96</f>
        <v>300</v>
      </c>
      <c r="G4" s="165">
        <f>'AZ'!H96+'GS事務組'!I96+'GM資產組'!H96</f>
        <v>0</v>
      </c>
      <c r="H4" s="165">
        <f>'AZ'!I96+'GS事務組'!J96+'GM資產組'!I96</f>
        <v>454</v>
      </c>
      <c r="I4" s="165">
        <f>'AZ'!J96+'GS事務組'!K96+'GM資產組'!J96</f>
        <v>0</v>
      </c>
      <c r="J4" s="165">
        <f>'AZ'!K96+'GS事務組'!L96+'GM資產組'!K96</f>
        <v>0</v>
      </c>
      <c r="K4" s="165">
        <f>'AZ'!L96+'GS事務組'!M96+'GM資產組'!L96</f>
        <v>0</v>
      </c>
      <c r="L4" s="165">
        <f>'AZ'!M96+'GS事務組'!N96+'GM資產組'!M96</f>
        <v>0</v>
      </c>
      <c r="M4" s="165">
        <f>'AZ'!N96+'GS事務組'!O96+'GM資產組'!N96</f>
        <v>0</v>
      </c>
      <c r="N4" s="165">
        <f>'AZ'!O96+'GS事務組'!P96+'GM資產組'!O96</f>
        <v>999.5</v>
      </c>
      <c r="O4" s="165">
        <f>'AZ'!P96+'GS事務組'!Q96+'GM資產組'!P96</f>
        <v>0</v>
      </c>
      <c r="P4" s="165">
        <f>'AZ'!Q96+'GS事務組'!R96+'GM資產組'!Q96</f>
        <v>0</v>
      </c>
      <c r="Q4" s="165">
        <f>'AZ'!R96+'GS事務組'!S96+'GM資產組'!R96</f>
        <v>0</v>
      </c>
      <c r="R4" s="165">
        <f>'AZ'!S96+'GS事務組'!T96+'GM資產組'!S96</f>
        <v>0</v>
      </c>
      <c r="S4" s="165">
        <f>'AZ'!T96+'GS事務組'!U96+'GM資產組'!T96</f>
        <v>0</v>
      </c>
      <c r="T4" s="165">
        <f>'AZ'!U96+'GS事務組'!V96+'GM資產組'!U96</f>
        <v>0</v>
      </c>
      <c r="U4" s="165">
        <f>'AZ'!V96+'GS事務組'!W96+'GM資產組'!V96</f>
        <v>0</v>
      </c>
      <c r="V4" s="165">
        <f>'AZ'!W96+'GS事務組'!X96+'GM資產組'!W96</f>
        <v>0</v>
      </c>
    </row>
    <row r="5" spans="1:22" ht="16.5">
      <c r="A5" s="109">
        <v>4</v>
      </c>
      <c r="B5" s="165">
        <f t="shared" si="0"/>
        <v>2004.6000000000001</v>
      </c>
      <c r="C5" s="165">
        <f>'AZ'!D97+'GS事務組'!E97+'GM資產組'!D97</f>
        <v>858</v>
      </c>
      <c r="D5" s="165">
        <f>'AZ'!E97+'GS事務組'!F97+'GM資產組'!E97</f>
        <v>0</v>
      </c>
      <c r="E5" s="165">
        <f>'AZ'!F97+'GS事務組'!G97+'GM資產組'!F97</f>
        <v>76</v>
      </c>
      <c r="F5" s="165">
        <f>'AZ'!G97+'GS事務組'!H97+'GM資產組'!G97</f>
        <v>150</v>
      </c>
      <c r="G5" s="165">
        <f>'AZ'!H97+'GS事務組'!I97+'GM資產組'!H97</f>
        <v>0</v>
      </c>
      <c r="H5" s="165">
        <f>'AZ'!I97+'GS事務組'!J97+'GM資產組'!I97</f>
        <v>262.4</v>
      </c>
      <c r="I5" s="165">
        <f>'AZ'!J97+'GS事務組'!K97+'GM資產組'!J97</f>
        <v>0</v>
      </c>
      <c r="J5" s="165">
        <f>'AZ'!K97+'GS事務組'!L97+'GM資產組'!K97</f>
        <v>0</v>
      </c>
      <c r="K5" s="165">
        <f>'AZ'!L97+'GS事務組'!M97+'GM資產組'!L97</f>
        <v>0</v>
      </c>
      <c r="L5" s="165">
        <f>'AZ'!M97+'GS事務組'!N97+'GM資產組'!M97</f>
        <v>0</v>
      </c>
      <c r="M5" s="165">
        <f>'AZ'!N97+'GS事務組'!O97+'GM資產組'!N97</f>
        <v>0</v>
      </c>
      <c r="N5" s="165">
        <f>'AZ'!O97+'GS事務組'!P97+'GM資產組'!O97</f>
        <v>658.2</v>
      </c>
      <c r="O5" s="165">
        <f>'AZ'!P97+'GS事務組'!Q97+'GM資產組'!P97</f>
        <v>0</v>
      </c>
      <c r="P5" s="165">
        <f>'AZ'!Q97+'GS事務組'!R97+'GM資產組'!Q97</f>
        <v>0</v>
      </c>
      <c r="Q5" s="165">
        <f>'AZ'!R97+'GS事務組'!S97+'GM資產組'!R97</f>
        <v>0</v>
      </c>
      <c r="R5" s="165">
        <f>'AZ'!S97+'GS事務組'!T97+'GM資產組'!S97</f>
        <v>0</v>
      </c>
      <c r="S5" s="165">
        <f>'AZ'!T97+'GS事務組'!U97+'GM資產組'!T97</f>
        <v>0</v>
      </c>
      <c r="T5" s="165">
        <f>'AZ'!U97+'GS事務組'!V97+'GM資產組'!U97</f>
        <v>0</v>
      </c>
      <c r="U5" s="165">
        <f>'AZ'!V97+'GS事務組'!W97+'GM資產組'!V97</f>
        <v>0</v>
      </c>
      <c r="V5" s="165">
        <f>'AZ'!W97+'GS事務組'!X97+'GM資產組'!W97</f>
        <v>0</v>
      </c>
    </row>
    <row r="6" spans="1:22" ht="16.5">
      <c r="A6" s="109">
        <v>5</v>
      </c>
      <c r="B6" s="165">
        <f t="shared" si="0"/>
        <v>2593.4</v>
      </c>
      <c r="C6" s="165">
        <f>'AZ'!D98+'GS事務組'!E98+'GM資產組'!D98</f>
        <v>1003.3</v>
      </c>
      <c r="D6" s="165">
        <f>'AZ'!E98+'GS事務組'!F98+'GM資產組'!E98</f>
        <v>0</v>
      </c>
      <c r="E6" s="165">
        <f>'AZ'!F98+'GS事務組'!G98+'GM資產組'!F98</f>
        <v>158.2</v>
      </c>
      <c r="F6" s="165">
        <f>'AZ'!G98+'GS事務組'!H98+'GM資產組'!G98</f>
        <v>90</v>
      </c>
      <c r="G6" s="165">
        <f>'AZ'!H98+'GS事務組'!I98+'GM資產組'!H98</f>
        <v>0</v>
      </c>
      <c r="H6" s="165">
        <f>'AZ'!I98+'GS事務組'!J98+'GM資產組'!I98</f>
        <v>462.9</v>
      </c>
      <c r="I6" s="165">
        <f>'AZ'!J98+'GS事務組'!K98+'GM資產組'!J98</f>
        <v>0</v>
      </c>
      <c r="J6" s="165">
        <f>'AZ'!K98+'GS事務組'!L98+'GM資產組'!K98</f>
        <v>0</v>
      </c>
      <c r="K6" s="165">
        <f>'AZ'!L98+'GS事務組'!M98+'GM資產組'!L98</f>
        <v>0</v>
      </c>
      <c r="L6" s="165">
        <f>'AZ'!M98+'GS事務組'!N98+'GM資產組'!M98</f>
        <v>0</v>
      </c>
      <c r="M6" s="165">
        <f>'AZ'!N98+'GS事務組'!O98+'GM資產組'!N98</f>
        <v>0</v>
      </c>
      <c r="N6" s="165">
        <f>'AZ'!O98+'GS事務組'!P98+'GM資產組'!O98</f>
        <v>879</v>
      </c>
      <c r="O6" s="165">
        <f>'AZ'!P98+'GS事務組'!Q98+'GM資產組'!P98</f>
        <v>0</v>
      </c>
      <c r="P6" s="165">
        <f>'AZ'!Q98+'GS事務組'!R98+'GM資產組'!Q98</f>
        <v>0</v>
      </c>
      <c r="Q6" s="165">
        <f>'AZ'!R98+'GS事務組'!S98+'GM資產組'!R98</f>
        <v>0</v>
      </c>
      <c r="R6" s="165">
        <f>'AZ'!S98+'GS事務組'!T98+'GM資產組'!S98</f>
        <v>0</v>
      </c>
      <c r="S6" s="165">
        <f>'AZ'!T98+'GS事務組'!U98+'GM資產組'!T98</f>
        <v>0</v>
      </c>
      <c r="T6" s="165">
        <f>'AZ'!U98+'GS事務組'!V98+'GM資產組'!U98</f>
        <v>0</v>
      </c>
      <c r="U6" s="165">
        <f>'AZ'!V98+'GS事務組'!W98+'GM資產組'!V98</f>
        <v>0</v>
      </c>
      <c r="V6" s="165">
        <f>'AZ'!W98+'GS事務組'!X98+'GM資產組'!W98</f>
        <v>0</v>
      </c>
    </row>
    <row r="7" spans="1:22" ht="16.5">
      <c r="A7" s="109">
        <v>6</v>
      </c>
      <c r="B7" s="165">
        <f t="shared" si="0"/>
        <v>1556.6000000000001</v>
      </c>
      <c r="C7" s="165">
        <f>'AZ'!D99+'GS事務組'!E99+'GM資產組'!D99</f>
        <v>605.1</v>
      </c>
      <c r="D7" s="165">
        <f>'AZ'!E99+'GS事務組'!F99+'GM資產組'!E99</f>
        <v>0</v>
      </c>
      <c r="E7" s="165">
        <f>'AZ'!F99+'GS事務組'!G99+'GM資產組'!F99</f>
        <v>74.2</v>
      </c>
      <c r="F7" s="165">
        <f>'AZ'!G99+'GS事務組'!H99+'GM資產組'!G99</f>
        <v>320</v>
      </c>
      <c r="G7" s="165">
        <f>'AZ'!H99+'GS事務組'!I99+'GM資產組'!H99</f>
        <v>0</v>
      </c>
      <c r="H7" s="165">
        <f>'AZ'!I99+'GS事務組'!J99+'GM資產組'!I99</f>
        <v>196.6</v>
      </c>
      <c r="I7" s="165">
        <f>'AZ'!J99+'GS事務組'!K99+'GM資產組'!J99</f>
        <v>0</v>
      </c>
      <c r="J7" s="165">
        <f>'AZ'!K99+'GS事務組'!L99+'GM資產組'!K99</f>
        <v>0</v>
      </c>
      <c r="K7" s="165">
        <f>'AZ'!L99+'GS事務組'!M99+'GM資產組'!L99</f>
        <v>0</v>
      </c>
      <c r="L7" s="165">
        <f>'AZ'!M99+'GS事務組'!N99+'GM資產組'!M99</f>
        <v>0</v>
      </c>
      <c r="M7" s="165">
        <f>'AZ'!N99+'GS事務組'!O99+'GM資產組'!N99</f>
        <v>0</v>
      </c>
      <c r="N7" s="165">
        <f>'AZ'!O99+'GS事務組'!P99+'GM資產組'!O99</f>
        <v>358.7</v>
      </c>
      <c r="O7" s="165">
        <f>'AZ'!P99+'GS事務組'!Q99+'GM資產組'!P99</f>
        <v>0</v>
      </c>
      <c r="P7" s="165">
        <f>'AZ'!Q99+'GS事務組'!R99+'GM資產組'!Q99</f>
        <v>0</v>
      </c>
      <c r="Q7" s="165">
        <f>'AZ'!R99+'GS事務組'!S99+'GM資產組'!R99</f>
        <v>0</v>
      </c>
      <c r="R7" s="165">
        <f>'AZ'!S99+'GS事務組'!T99+'GM資產組'!S99</f>
        <v>0</v>
      </c>
      <c r="S7" s="165">
        <f>'AZ'!T99+'GS事務組'!U99+'GM資產組'!T99</f>
        <v>0</v>
      </c>
      <c r="T7" s="165">
        <f>'AZ'!U99+'GS事務組'!V99+'GM資產組'!U99</f>
        <v>0</v>
      </c>
      <c r="U7" s="165">
        <f>'AZ'!V99+'GS事務組'!W99+'GM資產組'!V99</f>
        <v>2</v>
      </c>
      <c r="V7" s="165">
        <f>'AZ'!W99+'GS事務組'!X99+'GM資產組'!W99</f>
        <v>0</v>
      </c>
    </row>
    <row r="8" spans="1:22" ht="16.5">
      <c r="A8" s="109">
        <v>7</v>
      </c>
      <c r="B8" s="165">
        <f t="shared" si="0"/>
        <v>1243.8999999999999</v>
      </c>
      <c r="C8" s="165">
        <f>'AZ'!D100+'GS事務組'!E100+'GM資產組'!D100</f>
        <v>516.8</v>
      </c>
      <c r="D8" s="165">
        <f>'AZ'!E100+'GS事務組'!F100+'GM資產組'!E100</f>
        <v>0</v>
      </c>
      <c r="E8" s="165">
        <f>'AZ'!F100+'GS事務組'!G100+'GM資產組'!F100</f>
        <v>10.7</v>
      </c>
      <c r="F8" s="165">
        <f>'AZ'!G100+'GS事務組'!H100+'GM資產組'!G100</f>
        <v>500</v>
      </c>
      <c r="G8" s="165">
        <f>'AZ'!H100+'GS事務組'!I100+'GM資產組'!H100</f>
        <v>0</v>
      </c>
      <c r="H8" s="165">
        <f>'AZ'!I100+'GS事務組'!J100+'GM資產組'!I100</f>
        <v>76.8</v>
      </c>
      <c r="I8" s="165">
        <f>'AZ'!J100+'GS事務組'!K100+'GM資產組'!J100</f>
        <v>0</v>
      </c>
      <c r="J8" s="165">
        <f>'AZ'!K100+'GS事務組'!L100+'GM資產組'!K100</f>
        <v>0</v>
      </c>
      <c r="K8" s="165">
        <f>'AZ'!L100+'GS事務組'!M100+'GM資產組'!L100</f>
        <v>0</v>
      </c>
      <c r="L8" s="165">
        <f>'AZ'!M100+'GS事務組'!N100+'GM資產組'!M100</f>
        <v>0</v>
      </c>
      <c r="M8" s="165">
        <f>'AZ'!N100+'GS事務組'!O100+'GM資產組'!N100</f>
        <v>0</v>
      </c>
      <c r="N8" s="165">
        <f>'AZ'!O100+'GS事務組'!P100+'GM資產組'!O100</f>
        <v>139.6</v>
      </c>
      <c r="O8" s="165">
        <f>'AZ'!P100+'GS事務組'!Q100+'GM資產組'!P100</f>
        <v>0</v>
      </c>
      <c r="P8" s="165">
        <f>'AZ'!Q100+'GS事務組'!R100+'GM資產組'!Q100</f>
        <v>0</v>
      </c>
      <c r="Q8" s="165">
        <f>'AZ'!R100+'GS事務組'!S100+'GM資產組'!R100</f>
        <v>0</v>
      </c>
      <c r="R8" s="165">
        <f>'AZ'!S100+'GS事務組'!T100+'GM資產組'!S100</f>
        <v>0</v>
      </c>
      <c r="S8" s="165">
        <f>'AZ'!T100+'GS事務組'!U100+'GM資產組'!T100</f>
        <v>0</v>
      </c>
      <c r="T8" s="165">
        <f>'AZ'!U100+'GS事務組'!V100+'GM資產組'!U100</f>
        <v>0</v>
      </c>
      <c r="U8" s="165">
        <f>'AZ'!V100+'GS事務組'!W100+'GM資產組'!V100</f>
        <v>0</v>
      </c>
      <c r="V8" s="165">
        <f>'AZ'!W100+'GS事務組'!X100+'GM資產組'!W100</f>
        <v>0</v>
      </c>
    </row>
    <row r="9" spans="1:22" ht="16.5">
      <c r="A9" s="109">
        <v>8</v>
      </c>
      <c r="B9" s="165">
        <f t="shared" si="0"/>
        <v>1168.3999999999999</v>
      </c>
      <c r="C9" s="165">
        <f>'AZ'!D101+'GS事務組'!E101+'GM資產組'!D101</f>
        <v>585.8</v>
      </c>
      <c r="D9" s="165">
        <f>'AZ'!E101+'GS事務組'!G101+'GM資產組'!E101</f>
        <v>17.3</v>
      </c>
      <c r="E9" s="165">
        <f>'AZ'!F101+'GS事務組'!G101+'GM資產組'!F101</f>
        <v>17.3</v>
      </c>
      <c r="F9" s="165">
        <f>'AZ'!G101+'GS事務組'!H101+'GM資產組'!G101</f>
        <v>250</v>
      </c>
      <c r="G9" s="165">
        <f>'AZ'!H101+'GS事務組'!I101+'GM資產組'!H101</f>
        <v>0</v>
      </c>
      <c r="H9" s="165">
        <f>'AZ'!I101+'GS事務組'!J101+'GM資產組'!I101</f>
        <v>133.5</v>
      </c>
      <c r="I9" s="165">
        <f>'AZ'!J101+'GS事務組'!K101+'GM資產組'!J101</f>
        <v>0</v>
      </c>
      <c r="J9" s="165">
        <f>'AZ'!K101+'GS事務組'!L101+'GM資產組'!K101</f>
        <v>0</v>
      </c>
      <c r="K9" s="165">
        <f>'AZ'!L101+'GS事務組'!M101+'GM資產組'!L101</f>
        <v>0</v>
      </c>
      <c r="L9" s="165">
        <f>'AZ'!M101+'GS事務組'!N101+'GM資產組'!M101</f>
        <v>0</v>
      </c>
      <c r="M9" s="165">
        <f>'AZ'!N101+'GS事務組'!O101+'GM資產組'!N101</f>
        <v>0</v>
      </c>
      <c r="N9" s="165">
        <f>'AZ'!O101+'GS事務組'!P101+'GM資產組'!O101</f>
        <v>164.5</v>
      </c>
      <c r="O9" s="165">
        <f>'AZ'!P101+'GS事務組'!Q101+'GM資產組'!P101</f>
        <v>0</v>
      </c>
      <c r="P9" s="165">
        <f>'AZ'!Q101+'GS事務組'!R101+'GM資產組'!Q101</f>
        <v>0</v>
      </c>
      <c r="Q9" s="165">
        <f>'AZ'!R101+'GS事務組'!S101+'GM資產組'!R101</f>
        <v>0</v>
      </c>
      <c r="R9" s="165">
        <f>'AZ'!S101+'GS事務組'!T101+'GM資產組'!S101</f>
        <v>0</v>
      </c>
      <c r="S9" s="165">
        <f>'AZ'!T101+'GS事務組'!U101+'GM資產組'!T101</f>
        <v>0</v>
      </c>
      <c r="T9" s="165">
        <f>'AZ'!U101+'GS事務組'!V101+'GM資產組'!U101</f>
        <v>0</v>
      </c>
      <c r="U9" s="165">
        <f>'AZ'!V101+'GS事務組'!W101+'GM資產組'!V101</f>
        <v>0</v>
      </c>
      <c r="V9" s="165">
        <f>'AZ'!W101+'GS事務組'!X101+'GM資產組'!W101</f>
        <v>0</v>
      </c>
    </row>
    <row r="10" spans="1:22" ht="16.5">
      <c r="A10" s="109">
        <v>9</v>
      </c>
      <c r="B10" s="165">
        <f t="shared" si="0"/>
        <v>2192.4</v>
      </c>
      <c r="C10" s="165">
        <f>'AZ'!D102+'GS事務組'!E102+'GM資產組'!D102</f>
        <v>845.7</v>
      </c>
      <c r="D10" s="165">
        <f>'AZ'!E102+'GS事務組'!G102+'GM資產組'!E102</f>
        <v>88</v>
      </c>
      <c r="E10" s="165">
        <f>'AZ'!F102+'GS事務組'!G102+'GM資產組'!F102</f>
        <v>88</v>
      </c>
      <c r="F10" s="165">
        <f>'AZ'!G102+'GS事務組'!H102+'GM資產組'!G102</f>
        <v>500</v>
      </c>
      <c r="G10" s="165">
        <f>'AZ'!H102+'GS事務組'!I102+'GM資產組'!H102</f>
        <v>0</v>
      </c>
      <c r="H10" s="165">
        <f>'AZ'!I102+'GS事務組'!J102+'GM資產組'!I102</f>
        <v>243.7</v>
      </c>
      <c r="I10" s="165">
        <f>'AZ'!J102+'GS事務組'!K102+'GM資產組'!J102</f>
        <v>0</v>
      </c>
      <c r="J10" s="165">
        <f>'AZ'!K102+'GS事務組'!L102+'GM資產組'!K102</f>
        <v>0</v>
      </c>
      <c r="K10" s="165">
        <f>'AZ'!L102+'GS事務組'!M102+'GM資產組'!L102</f>
        <v>0</v>
      </c>
      <c r="L10" s="165">
        <f>'AZ'!M102+'GS事務組'!N102+'GM資產組'!M102</f>
        <v>0</v>
      </c>
      <c r="M10" s="165">
        <f>'AZ'!N102+'GS事務組'!O102+'GM資產組'!N102</f>
        <v>0</v>
      </c>
      <c r="N10" s="165">
        <f>'AZ'!O102+'GS事務組'!P102+'GM資產組'!O102</f>
        <v>427</v>
      </c>
      <c r="O10" s="165">
        <f>'AZ'!P102+'GS事務組'!Q102+'GM資產組'!P102</f>
        <v>0</v>
      </c>
      <c r="P10" s="165">
        <f>'AZ'!Q102+'GS事務組'!R102+'GM資產組'!Q102</f>
        <v>0</v>
      </c>
      <c r="Q10" s="165">
        <f>'AZ'!R102+'GS事務組'!S102+'GM資產組'!R102</f>
        <v>0</v>
      </c>
      <c r="R10" s="165">
        <f>'AZ'!S102+'GS事務組'!T102+'GM資產組'!S102</f>
        <v>0</v>
      </c>
      <c r="S10" s="165">
        <f>'AZ'!T102+'GS事務組'!U102+'GM資產組'!T102</f>
        <v>0</v>
      </c>
      <c r="T10" s="165">
        <f>'AZ'!U102+'GS事務組'!V102+'GM資產組'!U102</f>
        <v>0</v>
      </c>
      <c r="U10" s="165">
        <f>'AZ'!V102+'GS事務組'!W102+'GM資產組'!V102</f>
        <v>0</v>
      </c>
      <c r="V10" s="165">
        <f>'AZ'!W102+'GS事務組'!X102+'GM資產組'!W102</f>
        <v>0</v>
      </c>
    </row>
    <row r="11" spans="1:22" ht="16.5">
      <c r="A11" s="109">
        <v>10</v>
      </c>
      <c r="B11" s="165">
        <f t="shared" si="0"/>
        <v>2656.7</v>
      </c>
      <c r="C11" s="165">
        <f>'AZ'!D103+'GS事務組'!E103+'GM資產組'!D103</f>
        <v>1019</v>
      </c>
      <c r="D11" s="165">
        <f>'AZ'!E103+'GS事務組'!F103+'GM資產組'!E103</f>
        <v>0</v>
      </c>
      <c r="E11" s="165">
        <f>'AZ'!F103+'GS事務組'!G103+'GM資產組'!F103</f>
        <v>94</v>
      </c>
      <c r="F11" s="165">
        <f>'AZ'!G103+'GS事務組'!H103+'GM資產組'!G103</f>
        <v>800</v>
      </c>
      <c r="G11" s="165">
        <f>'AZ'!H103+'GS事務組'!I103+'GM資產組'!H103</f>
        <v>0</v>
      </c>
      <c r="H11" s="165">
        <f>'AZ'!I103+'GS事務組'!J103+'GM資產組'!I103</f>
        <v>288.2</v>
      </c>
      <c r="I11" s="165">
        <f>'AZ'!J103+'GS事務組'!K103+'GM資產組'!J103</f>
        <v>0</v>
      </c>
      <c r="J11" s="165">
        <f>'AZ'!K103+'GS事務組'!L103+'GM資產組'!K103</f>
        <v>0</v>
      </c>
      <c r="K11" s="165">
        <f>'AZ'!L103+'GS事務組'!M103+'GM資產組'!L103</f>
        <v>0</v>
      </c>
      <c r="L11" s="165">
        <f>'AZ'!M103+'GS事務組'!N103+'GM資產組'!M103</f>
        <v>0</v>
      </c>
      <c r="M11" s="165">
        <f>'AZ'!N103+'GS事務組'!O103+'GM資產組'!N103</f>
        <v>0</v>
      </c>
      <c r="N11" s="165">
        <f>'AZ'!O103+'GS事務組'!P103+'GM資產組'!O103</f>
        <v>455.5</v>
      </c>
      <c r="O11" s="165">
        <f>'AZ'!P103+'GS事務組'!Q103+'GM資產組'!P103</f>
        <v>0</v>
      </c>
      <c r="P11" s="165">
        <f>'AZ'!Q103+'GS事務組'!R103+'GM資產組'!Q103</f>
        <v>0</v>
      </c>
      <c r="Q11" s="165">
        <f>'AZ'!R103+'GS事務組'!S103+'GM資產組'!R103</f>
        <v>0</v>
      </c>
      <c r="R11" s="165">
        <f>'AZ'!S103+'GS事務組'!T103+'GM資產組'!S103</f>
        <v>0</v>
      </c>
      <c r="S11" s="165">
        <f>'AZ'!T103+'GS事務組'!U103+'GM資產組'!T103</f>
        <v>0</v>
      </c>
      <c r="T11" s="165">
        <f>'AZ'!U103+'GS事務組'!V103+'GM資產組'!U103</f>
        <v>0</v>
      </c>
      <c r="U11" s="165">
        <f>'AZ'!V103+'GS事務組'!W103+'GM資產組'!V103</f>
        <v>0</v>
      </c>
      <c r="V11" s="165">
        <f>'AZ'!W103+'GS事務組'!X103+'GM資產組'!W103</f>
        <v>0</v>
      </c>
    </row>
    <row r="12" spans="1:22" ht="16.5">
      <c r="A12" s="109">
        <v>11</v>
      </c>
      <c r="B12" s="165">
        <f t="shared" si="0"/>
        <v>3267.7</v>
      </c>
      <c r="C12" s="165">
        <f>'AZ'!D104+'GS事務組'!E104+'GM資產組'!D104</f>
        <v>1804.3</v>
      </c>
      <c r="D12" s="165">
        <f>'AZ'!E104+'GS事務組'!F104+'GM資產組'!E104</f>
        <v>0</v>
      </c>
      <c r="E12" s="165">
        <f>'AZ'!F104+'GS事務組'!G104+'GM資產組'!F104</f>
        <v>115.2</v>
      </c>
      <c r="F12" s="165">
        <f>'AZ'!G104+'GS事務組'!H104+'GM資產組'!G104</f>
        <v>350</v>
      </c>
      <c r="G12" s="165">
        <f>'AZ'!H104+'GS事務組'!I104+'GM資產組'!H104</f>
        <v>0</v>
      </c>
      <c r="H12" s="165">
        <f>'AZ'!I104+'GS事務組'!J104+'GM資產組'!I104</f>
        <v>410.5</v>
      </c>
      <c r="I12" s="165">
        <f>'AZ'!J104+'GS事務組'!K104+'GM資產組'!J104</f>
        <v>0</v>
      </c>
      <c r="J12" s="165">
        <f>'AZ'!K104+'GS事務組'!L104+'GM資產組'!K104</f>
        <v>0</v>
      </c>
      <c r="K12" s="165">
        <f>'AZ'!L104+'GS事務組'!M104+'GM資產組'!L104</f>
        <v>0</v>
      </c>
      <c r="L12" s="165">
        <f>'AZ'!M104+'GS事務組'!N104+'GM資產組'!M104</f>
        <v>0</v>
      </c>
      <c r="M12" s="165">
        <f>'AZ'!N104+'GS事務組'!O104+'GM資產組'!N104</f>
        <v>0</v>
      </c>
      <c r="N12" s="165">
        <f>'AZ'!O104+'GS事務組'!P104+'GM資產組'!O104</f>
        <v>587.7</v>
      </c>
      <c r="O12" s="165">
        <f>'AZ'!P104+'GS事務組'!Q104+'GM資產組'!P104</f>
        <v>0</v>
      </c>
      <c r="P12" s="165">
        <f>'AZ'!Q104+'GS事務組'!R104+'GM資產組'!Q104</f>
        <v>0</v>
      </c>
      <c r="Q12" s="165">
        <f>'AZ'!R104+'GS事務組'!S104+'GM資產組'!R104</f>
        <v>0</v>
      </c>
      <c r="R12" s="165">
        <f>'AZ'!S104+'GS事務組'!T104+'GM資產組'!S104</f>
        <v>0</v>
      </c>
      <c r="S12" s="165">
        <f>'AZ'!T104+'GS事務組'!U104+'GM資產組'!T104</f>
        <v>0</v>
      </c>
      <c r="T12" s="165">
        <f>'AZ'!U104+'GS事務組'!V104+'GM資產組'!U104</f>
        <v>0</v>
      </c>
      <c r="U12" s="165">
        <f>'AZ'!V104+'GS事務組'!W104+'GM資產組'!V104</f>
        <v>0</v>
      </c>
      <c r="V12" s="165">
        <f>'AZ'!W104+'GS事務組'!X104+'GM資產組'!W104</f>
        <v>0</v>
      </c>
    </row>
    <row r="13" spans="1:22" ht="17.25" thickBot="1">
      <c r="A13" s="113">
        <v>12</v>
      </c>
      <c r="B13" s="165">
        <f t="shared" si="0"/>
        <v>3020.4000000000005</v>
      </c>
      <c r="C13" s="165">
        <f>'AZ'!D105+'GS事務組'!E105+'GM資產組'!D105</f>
        <v>1622.4</v>
      </c>
      <c r="D13" s="165">
        <f>'AZ'!E105+'GS事務組'!F105+'GM資產組'!E105</f>
        <v>0</v>
      </c>
      <c r="E13" s="165">
        <f>'AZ'!F105+'GS事務組'!G105+'GM資產組'!F105</f>
        <v>139.5</v>
      </c>
      <c r="F13" s="165">
        <f>'AZ'!G105+'GS事務組'!H105+'GM資產組'!G105</f>
        <v>200</v>
      </c>
      <c r="G13" s="165">
        <f>'AZ'!H105+'GS事務組'!I105+'GM資產組'!H105</f>
        <v>0</v>
      </c>
      <c r="H13" s="165">
        <f>'AZ'!I105+'GS事務組'!J105+'GM資產組'!I105</f>
        <v>400.8</v>
      </c>
      <c r="I13" s="165">
        <f>'AZ'!J105+'GS事務組'!K105+'GM資產組'!J105</f>
        <v>0</v>
      </c>
      <c r="J13" s="165">
        <f>'AZ'!K105+'GS事務組'!L105+'GM資產組'!K105</f>
        <v>0</v>
      </c>
      <c r="K13" s="165">
        <f>'AZ'!L105+'GS事務組'!M105+'GM資產組'!L105</f>
        <v>0</v>
      </c>
      <c r="L13" s="165">
        <f>'AZ'!M105+'GS事務組'!N105+'GM資產組'!M105</f>
        <v>0</v>
      </c>
      <c r="M13" s="165">
        <f>'AZ'!N105+'GS事務組'!O105+'GM資產組'!N105</f>
        <v>0</v>
      </c>
      <c r="N13" s="165">
        <f>'AZ'!O105+'GS事務組'!P105+'GM資產組'!O105</f>
        <v>657.7</v>
      </c>
      <c r="O13" s="165">
        <f>'AZ'!P105+'GS事務組'!Q105+'GM資產組'!P105</f>
        <v>0</v>
      </c>
      <c r="P13" s="165">
        <f>'AZ'!Q105+'GS事務組'!R105+'GM資產組'!Q105</f>
        <v>0</v>
      </c>
      <c r="Q13" s="165">
        <f>'AZ'!R105+'GS事務組'!S105+'GM資產組'!R105</f>
        <v>0</v>
      </c>
      <c r="R13" s="165">
        <f>'AZ'!S105+'GS事務組'!T105+'GM資產組'!S105</f>
        <v>0</v>
      </c>
      <c r="S13" s="165">
        <f>'AZ'!T105+'GS事務組'!U105+'GM資產組'!T105</f>
        <v>0</v>
      </c>
      <c r="T13" s="165">
        <f>'AZ'!U105+'GS事務組'!V105+'GM資產組'!U105</f>
        <v>0</v>
      </c>
      <c r="U13" s="165">
        <f>'AZ'!V105+'GS事務組'!W105+'GM資產組'!V105</f>
        <v>0</v>
      </c>
      <c r="V13" s="165">
        <f>'AZ'!W105+'GS事務組'!X105+'GM資產組'!W105</f>
        <v>0</v>
      </c>
    </row>
    <row r="14" spans="1:22" ht="17.25" thickTop="1">
      <c r="A14" s="267" t="s">
        <v>27</v>
      </c>
      <c r="B14" s="268">
        <f aca="true" t="shared" si="1" ref="B14:V14">SUM(B2:B13)</f>
        <v>29460.600000000006</v>
      </c>
      <c r="C14" s="269">
        <f t="shared" si="1"/>
        <v>10812.7</v>
      </c>
      <c r="D14" s="269">
        <f t="shared" si="1"/>
        <v>105.3</v>
      </c>
      <c r="E14" s="269">
        <f t="shared" si="1"/>
        <v>936.4000000000001</v>
      </c>
      <c r="F14" s="269">
        <f t="shared" si="1"/>
        <v>8760</v>
      </c>
      <c r="G14" s="269">
        <f t="shared" si="1"/>
        <v>0</v>
      </c>
      <c r="H14" s="269">
        <f t="shared" si="1"/>
        <v>3145.1</v>
      </c>
      <c r="I14" s="269">
        <f t="shared" si="1"/>
        <v>0</v>
      </c>
      <c r="J14" s="269">
        <f t="shared" si="1"/>
        <v>0</v>
      </c>
      <c r="K14" s="269">
        <f t="shared" si="1"/>
        <v>0</v>
      </c>
      <c r="L14" s="269">
        <f t="shared" si="1"/>
        <v>0</v>
      </c>
      <c r="M14" s="269">
        <f t="shared" si="1"/>
        <v>0</v>
      </c>
      <c r="N14" s="269">
        <f t="shared" si="1"/>
        <v>5699.099999999999</v>
      </c>
      <c r="O14" s="269">
        <f t="shared" si="1"/>
        <v>0</v>
      </c>
      <c r="P14" s="269">
        <f t="shared" si="1"/>
        <v>0</v>
      </c>
      <c r="Q14" s="269">
        <f t="shared" si="1"/>
        <v>0</v>
      </c>
      <c r="R14" s="269">
        <f t="shared" si="1"/>
        <v>0</v>
      </c>
      <c r="S14" s="269">
        <f t="shared" si="1"/>
        <v>0</v>
      </c>
      <c r="T14" s="269">
        <f t="shared" si="1"/>
        <v>0</v>
      </c>
      <c r="U14" s="269">
        <f t="shared" si="1"/>
        <v>2</v>
      </c>
      <c r="V14" s="270">
        <f t="shared" si="1"/>
        <v>0</v>
      </c>
    </row>
    <row r="15" spans="1:22" ht="30.75" thickBot="1">
      <c r="A15" s="271" t="s">
        <v>48</v>
      </c>
      <c r="B15" s="272">
        <f>B14/12</f>
        <v>2455.0500000000006</v>
      </c>
      <c r="C15" s="272">
        <f aca="true" t="shared" si="2" ref="C15:V15">C14/12</f>
        <v>901.0583333333334</v>
      </c>
      <c r="D15" s="272">
        <f t="shared" si="2"/>
        <v>8.775</v>
      </c>
      <c r="E15" s="272">
        <f t="shared" si="2"/>
        <v>78.03333333333335</v>
      </c>
      <c r="F15" s="272">
        <f t="shared" si="2"/>
        <v>730</v>
      </c>
      <c r="G15" s="272">
        <f t="shared" si="2"/>
        <v>0</v>
      </c>
      <c r="H15" s="272">
        <f t="shared" si="2"/>
        <v>262.09166666666664</v>
      </c>
      <c r="I15" s="272">
        <f t="shared" si="2"/>
        <v>0</v>
      </c>
      <c r="J15" s="272">
        <f t="shared" si="2"/>
        <v>0</v>
      </c>
      <c r="K15" s="272">
        <f t="shared" si="2"/>
        <v>0</v>
      </c>
      <c r="L15" s="272">
        <f t="shared" si="2"/>
        <v>0</v>
      </c>
      <c r="M15" s="272">
        <f t="shared" si="2"/>
        <v>0</v>
      </c>
      <c r="N15" s="272">
        <f t="shared" si="2"/>
        <v>474.92499999999995</v>
      </c>
      <c r="O15" s="272">
        <f t="shared" si="2"/>
        <v>0</v>
      </c>
      <c r="P15" s="272">
        <f t="shared" si="2"/>
        <v>0</v>
      </c>
      <c r="Q15" s="272">
        <f t="shared" si="2"/>
        <v>0</v>
      </c>
      <c r="R15" s="272">
        <f t="shared" si="2"/>
        <v>0</v>
      </c>
      <c r="S15" s="272">
        <f t="shared" si="2"/>
        <v>0</v>
      </c>
      <c r="T15" s="272">
        <f t="shared" si="2"/>
        <v>0</v>
      </c>
      <c r="U15" s="272">
        <f t="shared" si="2"/>
        <v>0.16666666666666666</v>
      </c>
      <c r="V15" s="273">
        <f t="shared" si="2"/>
        <v>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1:V15"/>
  <sheetViews>
    <sheetView zoomScalePageLayoutView="0" workbookViewId="0" topLeftCell="A1">
      <selection activeCell="H18" sqref="H18"/>
    </sheetView>
  </sheetViews>
  <sheetFormatPr defaultColWidth="9.00390625" defaultRowHeight="16.5"/>
  <cols>
    <col min="2" max="2" width="9.375" style="0" bestFit="1" customWidth="1"/>
  </cols>
  <sheetData>
    <row r="1" spans="1:22" ht="60">
      <c r="A1" s="136" t="s">
        <v>149</v>
      </c>
      <c r="B1" s="137" t="s">
        <v>50</v>
      </c>
      <c r="C1" s="137" t="s">
        <v>2</v>
      </c>
      <c r="D1" s="137" t="s">
        <v>3</v>
      </c>
      <c r="E1" s="137" t="s">
        <v>4</v>
      </c>
      <c r="F1" s="137" t="s">
        <v>20</v>
      </c>
      <c r="G1" s="137" t="s">
        <v>36</v>
      </c>
      <c r="H1" s="137" t="s">
        <v>21</v>
      </c>
      <c r="I1" s="137" t="s">
        <v>22</v>
      </c>
      <c r="J1" s="137" t="s">
        <v>9</v>
      </c>
      <c r="K1" s="137" t="s">
        <v>10</v>
      </c>
      <c r="L1" s="137" t="s">
        <v>11</v>
      </c>
      <c r="M1" s="137" t="s">
        <v>12</v>
      </c>
      <c r="N1" s="137" t="s">
        <v>13</v>
      </c>
      <c r="O1" s="137" t="s">
        <v>14</v>
      </c>
      <c r="P1" s="137" t="s">
        <v>15</v>
      </c>
      <c r="Q1" s="137" t="s">
        <v>23</v>
      </c>
      <c r="R1" s="137" t="s">
        <v>60</v>
      </c>
      <c r="S1" s="137" t="s">
        <v>54</v>
      </c>
      <c r="T1" s="137" t="s">
        <v>25</v>
      </c>
      <c r="U1" s="137" t="s">
        <v>26</v>
      </c>
      <c r="V1" s="138" t="s">
        <v>49</v>
      </c>
    </row>
    <row r="2" spans="1:22" ht="16.5">
      <c r="A2" s="109">
        <v>1</v>
      </c>
      <c r="B2" s="165">
        <f>SUM(C2:V2)</f>
        <v>2643.4</v>
      </c>
      <c r="C2" s="165">
        <f>'GS事務組'!E106+'GM資產組'!D106</f>
        <v>1656.3</v>
      </c>
      <c r="D2" s="165">
        <f>'AZ'!E94+'GS事務組'!F94+'GM資產組'!E94</f>
        <v>0</v>
      </c>
      <c r="E2" s="248">
        <v>93.3</v>
      </c>
      <c r="F2" s="180">
        <v>350</v>
      </c>
      <c r="G2" s="165">
        <f>'AZ'!H94+'GS事務組'!I94+'GM資產組'!H94</f>
        <v>0</v>
      </c>
      <c r="H2" s="248">
        <v>256</v>
      </c>
      <c r="I2" s="165">
        <f>'AZ'!J94+'GS事務組'!K94+'GM資產組'!J94</f>
        <v>0</v>
      </c>
      <c r="J2" s="165">
        <v>0</v>
      </c>
      <c r="K2" s="165">
        <f>'AZ'!L94+'GS事務組'!M94+'GM資產組'!L94</f>
        <v>0</v>
      </c>
      <c r="L2" s="165">
        <f>'AZ'!M94+'GS事務組'!N94+'GM資產組'!M94</f>
        <v>0</v>
      </c>
      <c r="M2" s="165">
        <f>'AZ'!N94+'GS事務組'!O94+'GM資產組'!N94</f>
        <v>0</v>
      </c>
      <c r="N2" s="248">
        <v>287.8</v>
      </c>
      <c r="O2" s="165">
        <f>'AZ'!P94+'GS事務組'!Q94+'GM資產組'!P94</f>
        <v>0</v>
      </c>
      <c r="P2" s="165">
        <f>'AZ'!Q94+'GS事務組'!R94+'GM資產組'!Q94</f>
        <v>0</v>
      </c>
      <c r="Q2" s="165">
        <f>'AZ'!R94+'GS事務組'!S94+'GM資產組'!R94</f>
        <v>0</v>
      </c>
      <c r="R2" s="165">
        <f>'AZ'!S94+'GS事務組'!T94+'GM資產組'!S94</f>
        <v>0</v>
      </c>
      <c r="S2" s="165">
        <f>'AZ'!T94+'GS事務組'!U94+'GM資產組'!T94</f>
        <v>0</v>
      </c>
      <c r="T2" s="165">
        <f>'AZ'!U94+'GS事務組'!V94+'GM資產組'!U94</f>
        <v>0</v>
      </c>
      <c r="U2" s="248">
        <v>0</v>
      </c>
      <c r="V2" s="165">
        <f>'AZ'!W94+'GS事務組'!X94+'GM資產組'!W94</f>
        <v>0</v>
      </c>
    </row>
    <row r="3" spans="1:22" ht="16.5">
      <c r="A3" s="109">
        <v>2</v>
      </c>
      <c r="B3" s="165">
        <f aca="true" t="shared" si="0" ref="B3:B13">SUM(C3:V3)</f>
        <v>1976.8</v>
      </c>
      <c r="C3" s="165">
        <f>'GS事務組'!E107+'GM資產組'!D107</f>
        <v>1050</v>
      </c>
      <c r="D3" s="165">
        <f>'AZ'!E95+'GS事務組'!F95+'GM資產組'!E95</f>
        <v>0</v>
      </c>
      <c r="E3" s="226">
        <v>122.5</v>
      </c>
      <c r="F3" s="146">
        <v>250</v>
      </c>
      <c r="G3" s="165">
        <f>'AZ'!H95+'GS事務組'!I95+'GM資產組'!H95</f>
        <v>0</v>
      </c>
      <c r="H3" s="226">
        <v>219.3</v>
      </c>
      <c r="I3" s="165">
        <f>'AZ'!J95+'GS事務組'!K95+'GM資產組'!J95</f>
        <v>0</v>
      </c>
      <c r="J3" s="165">
        <v>0</v>
      </c>
      <c r="K3" s="165">
        <f>'AZ'!L95+'GS事務組'!M95+'GM資產組'!L95</f>
        <v>0</v>
      </c>
      <c r="L3" s="165">
        <f>'AZ'!M95+'GS事務組'!N95+'GM資產組'!M95</f>
        <v>0</v>
      </c>
      <c r="M3" s="165">
        <f>'AZ'!N95+'GS事務組'!O95+'GM資產組'!N95</f>
        <v>0</v>
      </c>
      <c r="N3" s="226">
        <v>335</v>
      </c>
      <c r="O3" s="165">
        <f>'AZ'!P95+'GS事務組'!Q95+'GM資產組'!P95</f>
        <v>0</v>
      </c>
      <c r="P3" s="165">
        <f>'AZ'!Q95+'GS事務組'!R95+'GM資產組'!Q95</f>
        <v>0</v>
      </c>
      <c r="Q3" s="165">
        <f>'AZ'!R95+'GS事務組'!S95+'GM資產組'!R95</f>
        <v>0</v>
      </c>
      <c r="R3" s="165">
        <f>'AZ'!S95+'GS事務組'!T95+'GM資產組'!S95</f>
        <v>0</v>
      </c>
      <c r="S3" s="165">
        <f>'AZ'!T95+'GS事務組'!U95+'GM資產組'!T95</f>
        <v>0</v>
      </c>
      <c r="T3" s="165">
        <f>'AZ'!U95+'GS事務組'!V95+'GM資產組'!U95</f>
        <v>0</v>
      </c>
      <c r="U3" s="226">
        <v>0</v>
      </c>
      <c r="V3" s="165">
        <f>'AZ'!W95+'GS事務組'!X95+'GM資產組'!W95</f>
        <v>0</v>
      </c>
    </row>
    <row r="4" spans="1:22" ht="16.5">
      <c r="A4" s="109">
        <v>3</v>
      </c>
      <c r="B4" s="165">
        <f t="shared" si="0"/>
        <v>2920.4</v>
      </c>
      <c r="C4" s="165">
        <f>'GS事務組'!E108+'GM資產組'!D108</f>
        <v>1575</v>
      </c>
      <c r="D4" s="165">
        <f>'AZ'!E96+'GS事務組'!F96+'GM資產組'!E96</f>
        <v>0</v>
      </c>
      <c r="E4" s="226">
        <v>136.5</v>
      </c>
      <c r="F4" s="146">
        <v>450</v>
      </c>
      <c r="G4" s="165">
        <f>'AZ'!H96+'GS事務組'!I96+'GM資產組'!H96</f>
        <v>0</v>
      </c>
      <c r="H4" s="226">
        <v>330.9</v>
      </c>
      <c r="I4" s="165">
        <f>'AZ'!J96+'GS事務組'!K96+'GM資產組'!J96</f>
        <v>0</v>
      </c>
      <c r="J4" s="165">
        <v>0</v>
      </c>
      <c r="K4" s="165">
        <f>'AZ'!L96+'GS事務組'!M96+'GM資產組'!L96</f>
        <v>0</v>
      </c>
      <c r="L4" s="165">
        <f>'AZ'!M96+'GS事務組'!N96+'GM資產組'!M96</f>
        <v>0</v>
      </c>
      <c r="M4" s="165">
        <f>'AZ'!N96+'GS事務組'!O96+'GM資產組'!N96</f>
        <v>0</v>
      </c>
      <c r="N4" s="226">
        <v>428</v>
      </c>
      <c r="O4" s="165">
        <f>'AZ'!P96+'GS事務組'!Q96+'GM資產組'!P96</f>
        <v>0</v>
      </c>
      <c r="P4" s="165">
        <f>'AZ'!Q96+'GS事務組'!R96+'GM資產組'!Q96</f>
        <v>0</v>
      </c>
      <c r="Q4" s="165">
        <f>'AZ'!R96+'GS事務組'!S96+'GM資產組'!R96</f>
        <v>0</v>
      </c>
      <c r="R4" s="165">
        <f>'AZ'!S96+'GS事務組'!T96+'GM資產組'!S96</f>
        <v>0</v>
      </c>
      <c r="S4" s="165">
        <f>'AZ'!T96+'GS事務組'!U96+'GM資產組'!T96</f>
        <v>0</v>
      </c>
      <c r="T4" s="165">
        <f>'AZ'!U96+'GS事務組'!V96+'GM資產組'!U96</f>
        <v>0</v>
      </c>
      <c r="U4" s="226">
        <v>0</v>
      </c>
      <c r="V4" s="165">
        <f>'AZ'!W96+'GS事務組'!X96+'GM資產組'!W96</f>
        <v>0</v>
      </c>
    </row>
    <row r="5" spans="1:22" ht="16.5">
      <c r="A5" s="109">
        <v>4</v>
      </c>
      <c r="B5" s="165">
        <f t="shared" si="0"/>
        <v>2964</v>
      </c>
      <c r="C5" s="165">
        <f>'GS事務組'!E109+'GM資產組'!D109</f>
        <v>1643</v>
      </c>
      <c r="D5" s="165">
        <f>'AZ'!E97+'GS事務組'!F97+'GM資產組'!E97</f>
        <v>0</v>
      </c>
      <c r="E5" s="226">
        <v>122</v>
      </c>
      <c r="F5" s="146">
        <v>420</v>
      </c>
      <c r="G5" s="165">
        <f>'AZ'!H97+'GS事務組'!I97+'GM資產組'!H97</f>
        <v>0</v>
      </c>
      <c r="H5" s="226">
        <v>341</v>
      </c>
      <c r="I5" s="165">
        <f>'AZ'!J97+'GS事務組'!K97+'GM資產組'!J97</f>
        <v>0</v>
      </c>
      <c r="J5" s="165">
        <v>0</v>
      </c>
      <c r="K5" s="165">
        <f>'AZ'!L97+'GS事務組'!M97+'GM資產組'!L97</f>
        <v>0</v>
      </c>
      <c r="L5" s="165">
        <f>'AZ'!M97+'GS事務組'!N97+'GM資產組'!M97</f>
        <v>0</v>
      </c>
      <c r="M5" s="165">
        <f>'AZ'!N97+'GS事務組'!O97+'GM資產組'!N97</f>
        <v>0</v>
      </c>
      <c r="N5" s="226">
        <v>437</v>
      </c>
      <c r="O5" s="165">
        <f>'AZ'!P97+'GS事務組'!Q97+'GM資產組'!P97</f>
        <v>0</v>
      </c>
      <c r="P5" s="165">
        <f>'AZ'!Q97+'GS事務組'!R97+'GM資產組'!Q97</f>
        <v>0</v>
      </c>
      <c r="Q5" s="165">
        <f>'AZ'!R97+'GS事務組'!S97+'GM資產組'!R97</f>
        <v>0</v>
      </c>
      <c r="R5" s="165">
        <f>'AZ'!S97+'GS事務組'!T97+'GM資產組'!S97</f>
        <v>0</v>
      </c>
      <c r="S5" s="165">
        <f>'AZ'!T97+'GS事務組'!U97+'GM資產組'!T97</f>
        <v>0</v>
      </c>
      <c r="T5" s="165">
        <f>'AZ'!U97+'GS事務組'!V97+'GM資產組'!U97</f>
        <v>0</v>
      </c>
      <c r="U5" s="226">
        <v>1</v>
      </c>
      <c r="V5" s="165">
        <f>'AZ'!W97+'GS事務組'!X97+'GM資產組'!W97</f>
        <v>0</v>
      </c>
    </row>
    <row r="6" spans="1:22" ht="16.5">
      <c r="A6" s="109">
        <v>5</v>
      </c>
      <c r="B6" s="165">
        <f t="shared" si="0"/>
        <v>3671.7</v>
      </c>
      <c r="C6" s="165">
        <f>'GS事務組'!E110+'GM資產組'!D110</f>
        <v>1927.6</v>
      </c>
      <c r="D6" s="165">
        <f>'AZ'!E98+'GS事務組'!F98+'GM資產組'!E98</f>
        <v>0</v>
      </c>
      <c r="E6" s="226">
        <v>165.1</v>
      </c>
      <c r="F6" s="146">
        <v>560</v>
      </c>
      <c r="G6" s="165">
        <f>'AZ'!H98+'GS事務組'!I98+'GM資產組'!H98</f>
        <v>0</v>
      </c>
      <c r="H6" s="226">
        <v>428</v>
      </c>
      <c r="I6" s="165">
        <f>'AZ'!J98+'GS事務組'!K98+'GM資產組'!J98</f>
        <v>0</v>
      </c>
      <c r="J6" s="165">
        <v>0</v>
      </c>
      <c r="K6" s="165">
        <f>'AZ'!L98+'GS事務組'!M98+'GM資產組'!L98</f>
        <v>0</v>
      </c>
      <c r="L6" s="165">
        <f>'AZ'!M98+'GS事務組'!N98+'GM資產組'!M98</f>
        <v>0</v>
      </c>
      <c r="M6" s="165">
        <f>'AZ'!N98+'GS事務組'!O98+'GM資產組'!N98</f>
        <v>0</v>
      </c>
      <c r="N6" s="226">
        <v>591</v>
      </c>
      <c r="O6" s="165">
        <f>'AZ'!P98+'GS事務組'!Q98+'GM資產組'!P98</f>
        <v>0</v>
      </c>
      <c r="P6" s="165">
        <f>'AZ'!Q98+'GS事務組'!R98+'GM資產組'!Q98</f>
        <v>0</v>
      </c>
      <c r="Q6" s="165">
        <f>'AZ'!R98+'GS事務組'!S98+'GM資產組'!R98</f>
        <v>0</v>
      </c>
      <c r="R6" s="165">
        <f>'AZ'!S98+'GS事務組'!T98+'GM資產組'!S98</f>
        <v>0</v>
      </c>
      <c r="S6" s="165">
        <f>'AZ'!T98+'GS事務組'!U98+'GM資產組'!T98</f>
        <v>0</v>
      </c>
      <c r="T6" s="165">
        <f>'AZ'!U98+'GS事務組'!V98+'GM資產組'!U98</f>
        <v>0</v>
      </c>
      <c r="U6" s="226">
        <v>0</v>
      </c>
      <c r="V6" s="165">
        <f>'AZ'!W98+'GS事務組'!X98+'GM資產組'!W98</f>
        <v>0</v>
      </c>
    </row>
    <row r="7" spans="1:22" ht="16.5">
      <c r="A7" s="109">
        <v>6</v>
      </c>
      <c r="B7" s="165">
        <f t="shared" si="0"/>
        <v>5464.5</v>
      </c>
      <c r="C7" s="165">
        <f>'GS事務組'!E111+'GM資產組'!D111</f>
        <v>3747</v>
      </c>
      <c r="D7" s="165">
        <f>'AZ'!E99+'GS事務組'!F99+'GM資產組'!E99</f>
        <v>0</v>
      </c>
      <c r="E7" s="226">
        <v>133</v>
      </c>
      <c r="F7" s="146">
        <v>1000</v>
      </c>
      <c r="G7" s="165">
        <f>'AZ'!H99+'GS事務組'!I99+'GM資產組'!H99</f>
        <v>0</v>
      </c>
      <c r="H7" s="226">
        <v>288.5</v>
      </c>
      <c r="I7" s="165">
        <f>'AZ'!J99+'GS事務組'!K99+'GM資產組'!J99</f>
        <v>0</v>
      </c>
      <c r="J7" s="165">
        <v>0</v>
      </c>
      <c r="K7" s="165">
        <f>'AZ'!L99+'GS事務組'!M99+'GM資產組'!L99</f>
        <v>0</v>
      </c>
      <c r="L7" s="165">
        <f>'AZ'!M99+'GS事務組'!N99+'GM資產組'!M99</f>
        <v>0</v>
      </c>
      <c r="M7" s="165">
        <f>'AZ'!N99+'GS事務組'!O99+'GM資產組'!N99</f>
        <v>0</v>
      </c>
      <c r="N7" s="226">
        <v>296</v>
      </c>
      <c r="O7" s="165">
        <f>'AZ'!P99+'GS事務組'!Q99+'GM資產組'!P99</f>
        <v>0</v>
      </c>
      <c r="P7" s="165">
        <f>'AZ'!Q99+'GS事務組'!R99+'GM資產組'!Q99</f>
        <v>0</v>
      </c>
      <c r="Q7" s="165">
        <f>'AZ'!R99+'GS事務組'!S99+'GM資產組'!R99</f>
        <v>0</v>
      </c>
      <c r="R7" s="165">
        <f>'AZ'!S99+'GS事務組'!T99+'GM資產組'!S99</f>
        <v>0</v>
      </c>
      <c r="S7" s="165">
        <f>'AZ'!T99+'GS事務組'!U99+'GM資產組'!T99</f>
        <v>0</v>
      </c>
      <c r="T7" s="165">
        <f>'AZ'!U99+'GS事務組'!V99+'GM資產組'!U99</f>
        <v>0</v>
      </c>
      <c r="U7" s="226">
        <v>0</v>
      </c>
      <c r="V7" s="165">
        <f>'AZ'!W99+'GS事務組'!X99+'GM資產組'!W99</f>
        <v>0</v>
      </c>
    </row>
    <row r="8" spans="1:22" ht="16.5">
      <c r="A8" s="109">
        <v>7</v>
      </c>
      <c r="B8" s="165">
        <f t="shared" si="0"/>
        <v>1503.5</v>
      </c>
      <c r="C8" s="165">
        <f>'GS事務組'!E112+'GM資產組'!D112</f>
        <v>858.5</v>
      </c>
      <c r="D8" s="165">
        <f>'AZ'!E100+'GS事務組'!F100+'GM資產組'!E100</f>
        <v>0</v>
      </c>
      <c r="E8" s="226">
        <v>87</v>
      </c>
      <c r="F8" s="146">
        <v>360</v>
      </c>
      <c r="G8" s="165">
        <f>'AZ'!H100+'GS事務組'!I100+'GM資產組'!H100</f>
        <v>0</v>
      </c>
      <c r="H8" s="226">
        <v>143</v>
      </c>
      <c r="I8" s="165">
        <f>'AZ'!J100+'GS事務組'!K100+'GM資產組'!J100</f>
        <v>0</v>
      </c>
      <c r="J8" s="165">
        <v>0</v>
      </c>
      <c r="K8" s="165">
        <f>'AZ'!L100+'GS事務組'!M100+'GM資產組'!L100</f>
        <v>0</v>
      </c>
      <c r="L8" s="165">
        <f>'AZ'!M100+'GS事務組'!N100+'GM資產組'!M100</f>
        <v>0</v>
      </c>
      <c r="M8" s="165">
        <f>'AZ'!N100+'GS事務組'!O100+'GM資產組'!N100</f>
        <v>0</v>
      </c>
      <c r="N8" s="226">
        <v>55</v>
      </c>
      <c r="O8" s="165">
        <f>'AZ'!P100+'GS事務組'!Q100+'GM資產組'!P100</f>
        <v>0</v>
      </c>
      <c r="P8" s="165">
        <f>'AZ'!Q100+'GS事務組'!R100+'GM資產組'!Q100</f>
        <v>0</v>
      </c>
      <c r="Q8" s="165">
        <f>'AZ'!R100+'GS事務組'!S100+'GM資產組'!R100</f>
        <v>0</v>
      </c>
      <c r="R8" s="165">
        <f>'AZ'!S100+'GS事務組'!T100+'GM資產組'!S100</f>
        <v>0</v>
      </c>
      <c r="S8" s="165">
        <f>'AZ'!T100+'GS事務組'!U100+'GM資產組'!T100</f>
        <v>0</v>
      </c>
      <c r="T8" s="165">
        <f>'AZ'!U100+'GS事務組'!V100+'GM資產組'!U100</f>
        <v>0</v>
      </c>
      <c r="U8" s="226">
        <v>0</v>
      </c>
      <c r="V8" s="165">
        <f>'AZ'!W100+'GS事務組'!X100+'GM資產組'!W100</f>
        <v>0</v>
      </c>
    </row>
    <row r="9" spans="1:22" ht="16.5">
      <c r="A9" s="109">
        <v>8</v>
      </c>
      <c r="B9" s="165">
        <f t="shared" si="0"/>
        <v>2765.3</v>
      </c>
      <c r="C9" s="165">
        <f>'GS事務組'!E113+'GM資產組'!D113</f>
        <v>1349</v>
      </c>
      <c r="D9" s="165">
        <f>'AZ'!E101+'GS事務組'!G101+'GM資產組'!E101</f>
        <v>17.3</v>
      </c>
      <c r="E9" s="226">
        <v>79</v>
      </c>
      <c r="F9" s="146">
        <v>720</v>
      </c>
      <c r="G9" s="165">
        <f>'AZ'!H101+'GS事務組'!I101+'GM資產組'!H101</f>
        <v>0</v>
      </c>
      <c r="H9" s="226">
        <v>223.5</v>
      </c>
      <c r="I9" s="165">
        <f>'AZ'!J101+'GS事務組'!K101+'GM資產組'!J101</f>
        <v>0</v>
      </c>
      <c r="J9" s="165">
        <v>0</v>
      </c>
      <c r="K9" s="165">
        <f>'AZ'!L101+'GS事務組'!M101+'GM資產組'!L101</f>
        <v>0</v>
      </c>
      <c r="L9" s="165">
        <f>'AZ'!M101+'GS事務組'!N101+'GM資產組'!M101</f>
        <v>0</v>
      </c>
      <c r="M9" s="165">
        <f>'AZ'!N101+'GS事務組'!O101+'GM資產組'!N101</f>
        <v>0</v>
      </c>
      <c r="N9" s="226">
        <v>376.5</v>
      </c>
      <c r="O9" s="165">
        <f>'AZ'!P101+'GS事務組'!Q101+'GM資產組'!P101</f>
        <v>0</v>
      </c>
      <c r="P9" s="165">
        <f>'AZ'!Q101+'GS事務組'!R101+'GM資產組'!Q101</f>
        <v>0</v>
      </c>
      <c r="Q9" s="165">
        <f>'AZ'!R101+'GS事務組'!S101+'GM資產組'!R101</f>
        <v>0</v>
      </c>
      <c r="R9" s="165">
        <f>'AZ'!S101+'GS事務組'!T101+'GM資產組'!S101</f>
        <v>0</v>
      </c>
      <c r="S9" s="165">
        <f>'AZ'!T101+'GS事務組'!U101+'GM資產組'!T101</f>
        <v>0</v>
      </c>
      <c r="T9" s="165">
        <f>'AZ'!U101+'GS事務組'!V101+'GM資產組'!U101</f>
        <v>0</v>
      </c>
      <c r="U9" s="226">
        <v>0</v>
      </c>
      <c r="V9" s="165">
        <f>'AZ'!W101+'GS事務組'!X101+'GM資產組'!W101</f>
        <v>0</v>
      </c>
    </row>
    <row r="10" spans="1:22" ht="16.5">
      <c r="A10" s="109">
        <v>9</v>
      </c>
      <c r="B10" s="165">
        <f t="shared" si="0"/>
        <v>2650</v>
      </c>
      <c r="C10" s="165">
        <f>'GS事務組'!E114+'GM資產組'!D114</f>
        <v>1113.5</v>
      </c>
      <c r="D10" s="165">
        <f>'AZ'!E102+'GS事務組'!G102+'GM資產組'!E102</f>
        <v>88</v>
      </c>
      <c r="E10" s="226">
        <v>116.5</v>
      </c>
      <c r="F10" s="146">
        <v>360</v>
      </c>
      <c r="G10" s="165">
        <f>'AZ'!H102+'GS事務組'!I102+'GM資產組'!H102</f>
        <v>0</v>
      </c>
      <c r="H10" s="226">
        <v>351</v>
      </c>
      <c r="I10" s="165">
        <f>'AZ'!J102+'GS事務組'!K102+'GM資產組'!J102</f>
        <v>0</v>
      </c>
      <c r="J10" s="165">
        <v>0</v>
      </c>
      <c r="K10" s="165">
        <f>'AZ'!L102+'GS事務組'!M102+'GM資產組'!L102</f>
        <v>0</v>
      </c>
      <c r="L10" s="165">
        <f>'AZ'!M102+'GS事務組'!N102+'GM資產組'!M102</f>
        <v>0</v>
      </c>
      <c r="M10" s="165">
        <f>'AZ'!N102+'GS事務組'!O102+'GM資產組'!N102</f>
        <v>0</v>
      </c>
      <c r="N10" s="226">
        <v>621</v>
      </c>
      <c r="O10" s="165">
        <f>'AZ'!P102+'GS事務組'!Q102+'GM資產組'!P102</f>
        <v>0</v>
      </c>
      <c r="P10" s="165">
        <f>'AZ'!Q102+'GS事務組'!R102+'GM資產組'!Q102</f>
        <v>0</v>
      </c>
      <c r="Q10" s="165">
        <f>'AZ'!R102+'GS事務組'!S102+'GM資產組'!R102</f>
        <v>0</v>
      </c>
      <c r="R10" s="165">
        <f>'AZ'!S102+'GS事務組'!T102+'GM資產組'!S102</f>
        <v>0</v>
      </c>
      <c r="S10" s="165">
        <f>'AZ'!T102+'GS事務組'!U102+'GM資產組'!T102</f>
        <v>0</v>
      </c>
      <c r="T10" s="165">
        <f>'AZ'!U102+'GS事務組'!V102+'GM資產組'!U102</f>
        <v>0</v>
      </c>
      <c r="U10" s="226">
        <v>0</v>
      </c>
      <c r="V10" s="165">
        <f>'AZ'!W102+'GS事務組'!X102+'GM資產組'!W102</f>
        <v>0</v>
      </c>
    </row>
    <row r="11" spans="1:22" ht="16.5">
      <c r="A11" s="109">
        <v>10</v>
      </c>
      <c r="B11" s="165">
        <f t="shared" si="0"/>
        <v>3802.1000000000004</v>
      </c>
      <c r="C11" s="165">
        <f>'GS事務組'!E115+'GM資產組'!D115</f>
        <v>1835</v>
      </c>
      <c r="D11" s="165">
        <f>'AZ'!E103+'GS事務組'!F103+'GM資產組'!E103</f>
        <v>0</v>
      </c>
      <c r="E11" s="226">
        <v>256.3</v>
      </c>
      <c r="F11" s="146">
        <v>410</v>
      </c>
      <c r="G11" s="165">
        <f>'AZ'!H103+'GS事務組'!I103+'GM資產組'!H103</f>
        <v>0</v>
      </c>
      <c r="H11" s="226">
        <v>496.8</v>
      </c>
      <c r="I11" s="165">
        <f>'AZ'!J103+'GS事務組'!K103+'GM資產組'!J103</f>
        <v>0</v>
      </c>
      <c r="J11" s="165">
        <v>0</v>
      </c>
      <c r="K11" s="165">
        <f>'AZ'!L103+'GS事務組'!M103+'GM資產組'!L103</f>
        <v>0</v>
      </c>
      <c r="L11" s="165">
        <f>'AZ'!M103+'GS事務組'!N103+'GM資產組'!M103</f>
        <v>0</v>
      </c>
      <c r="M11" s="165">
        <f>'AZ'!N103+'GS事務組'!O103+'GM資產組'!N103</f>
        <v>0</v>
      </c>
      <c r="N11" s="226">
        <v>802</v>
      </c>
      <c r="O11" s="165">
        <f>'AZ'!P103+'GS事務組'!Q103+'GM資產組'!P103</f>
        <v>0</v>
      </c>
      <c r="P11" s="165">
        <f>'AZ'!Q103+'GS事務組'!R103+'GM資產組'!Q103</f>
        <v>0</v>
      </c>
      <c r="Q11" s="165">
        <f>'AZ'!R103+'GS事務組'!S103+'GM資產組'!R103</f>
        <v>0</v>
      </c>
      <c r="R11" s="165">
        <f>'AZ'!S103+'GS事務組'!T103+'GM資產組'!S103</f>
        <v>0</v>
      </c>
      <c r="S11" s="165">
        <f>'AZ'!T103+'GS事務組'!U103+'GM資產組'!T103</f>
        <v>0</v>
      </c>
      <c r="T11" s="165">
        <f>'AZ'!U103+'GS事務組'!V103+'GM資產組'!U103</f>
        <v>0</v>
      </c>
      <c r="U11" s="226">
        <v>2</v>
      </c>
      <c r="V11" s="165">
        <f>'AZ'!W103+'GS事務組'!X103+'GM資產組'!W103</f>
        <v>0</v>
      </c>
    </row>
    <row r="12" spans="1:22" ht="16.5">
      <c r="A12" s="109">
        <v>11</v>
      </c>
      <c r="B12" s="165">
        <f t="shared" si="0"/>
        <v>3725.6</v>
      </c>
      <c r="C12" s="165">
        <f>'GS事務組'!E116+'GM資產組'!D116</f>
        <v>1678.5</v>
      </c>
      <c r="D12" s="165">
        <f>'AZ'!E104+'GS事務組'!F104+'GM資產組'!E104</f>
        <v>0</v>
      </c>
      <c r="E12" s="226">
        <v>179.5</v>
      </c>
      <c r="F12" s="146">
        <v>290</v>
      </c>
      <c r="G12" s="165">
        <f>'AZ'!H104+'GS事務組'!I104+'GM資產組'!H104</f>
        <v>0</v>
      </c>
      <c r="H12" s="226">
        <v>548.6</v>
      </c>
      <c r="I12" s="165">
        <f>'AZ'!J104+'GS事務組'!K104+'GM資產組'!J104</f>
        <v>0</v>
      </c>
      <c r="J12" s="165">
        <v>0</v>
      </c>
      <c r="K12" s="165">
        <f>'AZ'!L104+'GS事務組'!M104+'GM資產組'!L104</f>
        <v>0</v>
      </c>
      <c r="L12" s="165">
        <f>'AZ'!M104+'GS事務組'!N104+'GM資產組'!M104</f>
        <v>0</v>
      </c>
      <c r="M12" s="165">
        <f>'AZ'!N104+'GS事務組'!O104+'GM資產組'!N104</f>
        <v>0</v>
      </c>
      <c r="N12" s="226">
        <v>1029</v>
      </c>
      <c r="O12" s="165">
        <f>'AZ'!P104+'GS事務組'!Q104+'GM資產組'!P104</f>
        <v>0</v>
      </c>
      <c r="P12" s="165">
        <f>'AZ'!Q104+'GS事務組'!R104+'GM資產組'!Q104</f>
        <v>0</v>
      </c>
      <c r="Q12" s="165">
        <f>'AZ'!R104+'GS事務組'!S104+'GM資產組'!R104</f>
        <v>0</v>
      </c>
      <c r="R12" s="165">
        <f>'AZ'!S104+'GS事務組'!T104+'GM資產組'!S104</f>
        <v>0</v>
      </c>
      <c r="S12" s="165">
        <f>'AZ'!T104+'GS事務組'!U104+'GM資產組'!T104</f>
        <v>0</v>
      </c>
      <c r="T12" s="165">
        <f>'AZ'!U104+'GS事務組'!V104+'GM資產組'!U104</f>
        <v>0</v>
      </c>
      <c r="U12" s="226">
        <v>0</v>
      </c>
      <c r="V12" s="165">
        <f>'AZ'!W104+'GS事務組'!X104+'GM資產組'!W104</f>
        <v>0</v>
      </c>
    </row>
    <row r="13" spans="1:22" ht="17.25" thickBot="1">
      <c r="A13" s="113">
        <v>12</v>
      </c>
      <c r="B13" s="165">
        <f t="shared" si="0"/>
        <v>3837</v>
      </c>
      <c r="C13" s="165">
        <f>'GS事務組'!E117+'GM資產組'!D117</f>
        <v>1716</v>
      </c>
      <c r="D13" s="165">
        <f>'AZ'!E105+'GS事務組'!F105+'GM資產組'!E105</f>
        <v>0</v>
      </c>
      <c r="E13" s="226">
        <v>205.5</v>
      </c>
      <c r="F13" s="148">
        <v>410</v>
      </c>
      <c r="G13" s="165">
        <f>'AZ'!H105+'GS事務組'!I105+'GM資產組'!H105</f>
        <v>0</v>
      </c>
      <c r="H13" s="226">
        <v>499.5</v>
      </c>
      <c r="I13" s="165">
        <f>'AZ'!J105+'GS事務組'!K105+'GM資產組'!J105</f>
        <v>0</v>
      </c>
      <c r="J13" s="165">
        <v>0</v>
      </c>
      <c r="K13" s="165">
        <f>'AZ'!L105+'GS事務組'!M105+'GM資產組'!L105</f>
        <v>0</v>
      </c>
      <c r="L13" s="165">
        <f>'AZ'!M105+'GS事務組'!N105+'GM資產組'!M105</f>
        <v>0</v>
      </c>
      <c r="M13" s="165">
        <f>'AZ'!N105+'GS事務組'!O105+'GM資產組'!N105</f>
        <v>0</v>
      </c>
      <c r="N13" s="226">
        <v>1006</v>
      </c>
      <c r="O13" s="165">
        <f>'AZ'!P105+'GS事務組'!Q105+'GM資產組'!P105</f>
        <v>0</v>
      </c>
      <c r="P13" s="165">
        <f>'AZ'!Q105+'GS事務組'!R105+'GM資產組'!Q105</f>
        <v>0</v>
      </c>
      <c r="Q13" s="165">
        <f>'AZ'!R105+'GS事務組'!S105+'GM資產組'!R105</f>
        <v>0</v>
      </c>
      <c r="R13" s="165">
        <f>'AZ'!S105+'GS事務組'!T105+'GM資產組'!S105</f>
        <v>0</v>
      </c>
      <c r="S13" s="165">
        <f>'AZ'!T105+'GS事務組'!U105+'GM資產組'!T105</f>
        <v>0</v>
      </c>
      <c r="T13" s="165">
        <f>'AZ'!U105+'GS事務組'!V105+'GM資產組'!U105</f>
        <v>0</v>
      </c>
      <c r="U13" s="226">
        <v>0</v>
      </c>
      <c r="V13" s="165">
        <f>'AZ'!W105+'GS事務組'!X105+'GM資產組'!W105</f>
        <v>0</v>
      </c>
    </row>
    <row r="14" spans="1:22" ht="17.25" thickTop="1">
      <c r="A14" s="267" t="s">
        <v>27</v>
      </c>
      <c r="B14" s="268">
        <f aca="true" t="shared" si="1" ref="B14:V14">SUM(B2:B13)</f>
        <v>37924.299999999996</v>
      </c>
      <c r="C14" s="269">
        <f t="shared" si="1"/>
        <v>20149.4</v>
      </c>
      <c r="D14" s="269">
        <f t="shared" si="1"/>
        <v>105.3</v>
      </c>
      <c r="E14" s="269">
        <f t="shared" si="1"/>
        <v>1696.2</v>
      </c>
      <c r="F14" s="269">
        <f t="shared" si="1"/>
        <v>5580</v>
      </c>
      <c r="G14" s="269">
        <f t="shared" si="1"/>
        <v>0</v>
      </c>
      <c r="H14" s="269">
        <f t="shared" si="1"/>
        <v>4126.1</v>
      </c>
      <c r="I14" s="269">
        <f t="shared" si="1"/>
        <v>0</v>
      </c>
      <c r="J14" s="269">
        <f t="shared" si="1"/>
        <v>0</v>
      </c>
      <c r="K14" s="269">
        <f t="shared" si="1"/>
        <v>0</v>
      </c>
      <c r="L14" s="269">
        <f t="shared" si="1"/>
        <v>0</v>
      </c>
      <c r="M14" s="269">
        <f t="shared" si="1"/>
        <v>0</v>
      </c>
      <c r="N14" s="269">
        <f t="shared" si="1"/>
        <v>6264.3</v>
      </c>
      <c r="O14" s="269">
        <f t="shared" si="1"/>
        <v>0</v>
      </c>
      <c r="P14" s="269">
        <f t="shared" si="1"/>
        <v>0</v>
      </c>
      <c r="Q14" s="269">
        <f t="shared" si="1"/>
        <v>0</v>
      </c>
      <c r="R14" s="269">
        <f t="shared" si="1"/>
        <v>0</v>
      </c>
      <c r="S14" s="269">
        <f t="shared" si="1"/>
        <v>0</v>
      </c>
      <c r="T14" s="269">
        <f t="shared" si="1"/>
        <v>0</v>
      </c>
      <c r="U14" s="269">
        <f t="shared" si="1"/>
        <v>3</v>
      </c>
      <c r="V14" s="270">
        <f t="shared" si="1"/>
        <v>0</v>
      </c>
    </row>
    <row r="15" spans="1:22" ht="30.75" thickBot="1">
      <c r="A15" s="271" t="s">
        <v>48</v>
      </c>
      <c r="B15" s="272">
        <f>B14/12</f>
        <v>3160.358333333333</v>
      </c>
      <c r="C15" s="272">
        <f aca="true" t="shared" si="2" ref="C15:V15">C14/12</f>
        <v>1679.1166666666668</v>
      </c>
      <c r="D15" s="272">
        <f t="shared" si="2"/>
        <v>8.775</v>
      </c>
      <c r="E15" s="272">
        <f t="shared" si="2"/>
        <v>141.35</v>
      </c>
      <c r="F15" s="272">
        <f t="shared" si="2"/>
        <v>465</v>
      </c>
      <c r="G15" s="272">
        <f t="shared" si="2"/>
        <v>0</v>
      </c>
      <c r="H15" s="272">
        <f t="shared" si="2"/>
        <v>343.8416666666667</v>
      </c>
      <c r="I15" s="272">
        <f t="shared" si="2"/>
        <v>0</v>
      </c>
      <c r="J15" s="272">
        <f t="shared" si="2"/>
        <v>0</v>
      </c>
      <c r="K15" s="272">
        <f t="shared" si="2"/>
        <v>0</v>
      </c>
      <c r="L15" s="272">
        <f t="shared" si="2"/>
        <v>0</v>
      </c>
      <c r="M15" s="272">
        <f t="shared" si="2"/>
        <v>0</v>
      </c>
      <c r="N15" s="272">
        <f t="shared" si="2"/>
        <v>522.025</v>
      </c>
      <c r="O15" s="272">
        <f t="shared" si="2"/>
        <v>0</v>
      </c>
      <c r="P15" s="272">
        <f t="shared" si="2"/>
        <v>0</v>
      </c>
      <c r="Q15" s="272">
        <f t="shared" si="2"/>
        <v>0</v>
      </c>
      <c r="R15" s="272">
        <f t="shared" si="2"/>
        <v>0</v>
      </c>
      <c r="S15" s="272">
        <f t="shared" si="2"/>
        <v>0</v>
      </c>
      <c r="T15" s="272">
        <f t="shared" si="2"/>
        <v>0</v>
      </c>
      <c r="U15" s="272">
        <f t="shared" si="2"/>
        <v>0.25</v>
      </c>
      <c r="V15" s="273">
        <f t="shared" si="2"/>
        <v>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</sheetPr>
  <dimension ref="A1:V15"/>
  <sheetViews>
    <sheetView zoomScalePageLayoutView="0" workbookViewId="0" topLeftCell="A1">
      <selection activeCell="I13" sqref="I13"/>
    </sheetView>
  </sheetViews>
  <sheetFormatPr defaultColWidth="9.00390625" defaultRowHeight="16.5"/>
  <cols>
    <col min="2" max="2" width="9.375" style="0" bestFit="1" customWidth="1"/>
  </cols>
  <sheetData>
    <row r="1" spans="1:22" ht="60">
      <c r="A1" s="136" t="s">
        <v>150</v>
      </c>
      <c r="B1" s="137" t="s">
        <v>50</v>
      </c>
      <c r="C1" s="137" t="s">
        <v>2</v>
      </c>
      <c r="D1" s="137" t="s">
        <v>3</v>
      </c>
      <c r="E1" s="137" t="s">
        <v>4</v>
      </c>
      <c r="F1" s="137" t="s">
        <v>20</v>
      </c>
      <c r="G1" s="137" t="s">
        <v>36</v>
      </c>
      <c r="H1" s="137" t="s">
        <v>21</v>
      </c>
      <c r="I1" s="137" t="s">
        <v>22</v>
      </c>
      <c r="J1" s="137" t="s">
        <v>9</v>
      </c>
      <c r="K1" s="137" t="s">
        <v>10</v>
      </c>
      <c r="L1" s="137" t="s">
        <v>11</v>
      </c>
      <c r="M1" s="137" t="s">
        <v>12</v>
      </c>
      <c r="N1" s="137" t="s">
        <v>13</v>
      </c>
      <c r="O1" s="137" t="s">
        <v>14</v>
      </c>
      <c r="P1" s="137" t="s">
        <v>15</v>
      </c>
      <c r="Q1" s="137" t="s">
        <v>23</v>
      </c>
      <c r="R1" s="137" t="s">
        <v>60</v>
      </c>
      <c r="S1" s="137" t="s">
        <v>54</v>
      </c>
      <c r="T1" s="137" t="s">
        <v>25</v>
      </c>
      <c r="U1" s="137" t="s">
        <v>26</v>
      </c>
      <c r="V1" s="138" t="s">
        <v>49</v>
      </c>
    </row>
    <row r="2" spans="1:22" ht="16.5">
      <c r="A2" s="109">
        <v>1</v>
      </c>
      <c r="B2" s="165">
        <f>SUM(C2:V2)</f>
        <v>4180.5</v>
      </c>
      <c r="C2" s="165">
        <f>'GS事務組'!E118+'台北總務組'!E118</f>
        <v>2204.5</v>
      </c>
      <c r="D2" s="165">
        <f>'AZ'!E94+'GS事務組'!F94+'GM資產組'!E94</f>
        <v>0</v>
      </c>
      <c r="E2" s="248">
        <v>172.1</v>
      </c>
      <c r="F2" s="180">
        <v>630</v>
      </c>
      <c r="G2" s="165">
        <f>'AZ'!H94+'GS事務組'!I94+'GM資產組'!H94</f>
        <v>0</v>
      </c>
      <c r="H2" s="248">
        <v>381.5</v>
      </c>
      <c r="I2" s="165">
        <f>'AZ'!J94+'GS事務組'!K94+'GM資產組'!J94</f>
        <v>0</v>
      </c>
      <c r="J2" s="165">
        <v>0</v>
      </c>
      <c r="K2" s="165">
        <f>'AZ'!L94+'GS事務組'!M94+'GM資產組'!L94</f>
        <v>0</v>
      </c>
      <c r="L2" s="165">
        <f>'AZ'!M94+'GS事務組'!N94+'GM資產組'!M94</f>
        <v>0</v>
      </c>
      <c r="M2" s="165">
        <f>'AZ'!N94+'GS事務組'!O94+'GM資產組'!N94</f>
        <v>0</v>
      </c>
      <c r="N2" s="248">
        <v>792.4</v>
      </c>
      <c r="O2" s="165">
        <f>'AZ'!P94+'GS事務組'!Q94+'GM資產組'!P94</f>
        <v>0</v>
      </c>
      <c r="P2" s="165">
        <f>'AZ'!Q94+'GS事務組'!R94+'GM資產組'!Q94</f>
        <v>0</v>
      </c>
      <c r="Q2" s="165">
        <f>'AZ'!R94+'GS事務組'!S94+'GM資產組'!R94</f>
        <v>0</v>
      </c>
      <c r="R2" s="165">
        <f>'AZ'!S94+'GS事務組'!T94+'GM資產組'!S94</f>
        <v>0</v>
      </c>
      <c r="S2" s="165">
        <f>'AZ'!T94+'GS事務組'!U94+'GM資產組'!T94</f>
        <v>0</v>
      </c>
      <c r="T2" s="165">
        <f>'AZ'!U94+'GS事務組'!V94+'GM資產組'!U94</f>
        <v>0</v>
      </c>
      <c r="U2" s="165">
        <f>'AZ'!V94+'GS事務組'!W94+'GM資產組'!V94</f>
        <v>0</v>
      </c>
      <c r="V2" s="165">
        <f>'AZ'!W94+'GS事務組'!X94+'GM資產組'!W94</f>
        <v>0</v>
      </c>
    </row>
    <row r="3" spans="1:22" ht="16.5">
      <c r="A3" s="109">
        <v>2</v>
      </c>
      <c r="B3" s="165">
        <f aca="true" t="shared" si="0" ref="B3:B13">SUM(C3:V3)</f>
        <v>882</v>
      </c>
      <c r="C3" s="165">
        <f>'GS事務組'!D119+'GM資產組'!D119</f>
        <v>480</v>
      </c>
      <c r="D3" s="165">
        <f>'AZ'!E95+'GS事務組'!F95+'GM資產組'!E95</f>
        <v>0</v>
      </c>
      <c r="E3" s="226">
        <v>24</v>
      </c>
      <c r="F3" s="146">
        <v>210</v>
      </c>
      <c r="G3" s="165">
        <f>'AZ'!H95+'GS事務組'!I95+'GM資產組'!H95</f>
        <v>0</v>
      </c>
      <c r="H3" s="226">
        <v>50</v>
      </c>
      <c r="I3" s="165">
        <f>'AZ'!J95+'GS事務組'!K95+'GM資產組'!J95</f>
        <v>0</v>
      </c>
      <c r="J3" s="165">
        <v>0</v>
      </c>
      <c r="K3" s="165">
        <f>'AZ'!L95+'GS事務組'!M95+'GM資產組'!L95</f>
        <v>0</v>
      </c>
      <c r="L3" s="165">
        <f>'AZ'!M95+'GS事務組'!N95+'GM資產組'!M95</f>
        <v>0</v>
      </c>
      <c r="M3" s="165">
        <f>'AZ'!N95+'GS事務組'!O95+'GM資產組'!N95</f>
        <v>0</v>
      </c>
      <c r="N3" s="226">
        <v>118</v>
      </c>
      <c r="O3" s="165">
        <f>'AZ'!P95+'GS事務組'!Q95+'GM資產組'!P95</f>
        <v>0</v>
      </c>
      <c r="P3" s="165">
        <f>'AZ'!Q95+'GS事務組'!R95+'GM資產組'!Q95</f>
        <v>0</v>
      </c>
      <c r="Q3" s="165">
        <f>'AZ'!R95+'GS事務組'!S95+'GM資產組'!R95</f>
        <v>0</v>
      </c>
      <c r="R3" s="165">
        <f>'AZ'!S95+'GS事務組'!T95+'GM資產組'!S95</f>
        <v>0</v>
      </c>
      <c r="S3" s="165">
        <f>'AZ'!T95+'GS事務組'!U95+'GM資產組'!T95</f>
        <v>0</v>
      </c>
      <c r="T3" s="165">
        <f>'AZ'!U95+'GS事務組'!V95+'GM資產組'!U95</f>
        <v>0</v>
      </c>
      <c r="U3" s="165">
        <f>'AZ'!V95+'GS事務組'!W95+'GM資產組'!V95</f>
        <v>0</v>
      </c>
      <c r="V3" s="165">
        <f>'AZ'!W95+'GS事務組'!X95+'GM資產組'!W95</f>
        <v>0</v>
      </c>
    </row>
    <row r="4" spans="1:22" ht="16.5">
      <c r="A4" s="109">
        <v>3</v>
      </c>
      <c r="B4" s="165">
        <f t="shared" si="0"/>
        <v>3894.8</v>
      </c>
      <c r="C4" s="165">
        <f>'GS事務組'!E120+'GM資產組'!D120</f>
        <v>1721.5</v>
      </c>
      <c r="D4" s="165">
        <f>'AZ'!E96+'GS事務組'!F96+'GM資產組'!E96</f>
        <v>0</v>
      </c>
      <c r="E4" s="226">
        <v>188.8</v>
      </c>
      <c r="F4" s="146">
        <v>600</v>
      </c>
      <c r="G4" s="165">
        <f>'AZ'!H96+'GS事務組'!I96+'GM資產組'!H96</f>
        <v>0</v>
      </c>
      <c r="H4" s="226">
        <v>459.5</v>
      </c>
      <c r="I4" s="165">
        <f>'AZ'!J96+'GS事務組'!K96+'GM資產組'!J96</f>
        <v>0</v>
      </c>
      <c r="J4" s="165">
        <v>0</v>
      </c>
      <c r="K4" s="165">
        <f>'AZ'!L96+'GS事務組'!M96+'GM資產組'!L96</f>
        <v>0</v>
      </c>
      <c r="L4" s="165">
        <f>'AZ'!M96+'GS事務組'!N96+'GM資產組'!M96</f>
        <v>0</v>
      </c>
      <c r="M4" s="165">
        <f>'AZ'!N96+'GS事務組'!O96+'GM資產組'!N96</f>
        <v>0</v>
      </c>
      <c r="N4" s="226">
        <v>925</v>
      </c>
      <c r="O4" s="165">
        <f>'AZ'!P96+'GS事務組'!Q96+'GM資產組'!P96</f>
        <v>0</v>
      </c>
      <c r="P4" s="165">
        <f>'AZ'!Q96+'GS事務組'!R96+'GM資產組'!Q96</f>
        <v>0</v>
      </c>
      <c r="Q4" s="165">
        <f>'AZ'!R96+'GS事務組'!S96+'GM資產組'!R96</f>
        <v>0</v>
      </c>
      <c r="R4" s="165">
        <f>'AZ'!S96+'GS事務組'!T96+'GM資產組'!S96</f>
        <v>0</v>
      </c>
      <c r="S4" s="165">
        <f>'AZ'!T96+'GS事務組'!U96+'GM資產組'!T96</f>
        <v>0</v>
      </c>
      <c r="T4" s="165">
        <f>'AZ'!U96+'GS事務組'!V96+'GM資產組'!U96</f>
        <v>0</v>
      </c>
      <c r="U4" s="165">
        <f>'AZ'!V96+'GS事務組'!W96+'GM資產組'!V96</f>
        <v>0</v>
      </c>
      <c r="V4" s="165">
        <f>'AZ'!W96+'GS事務組'!X96+'GM資產組'!W96</f>
        <v>0</v>
      </c>
    </row>
    <row r="5" spans="1:22" ht="16.5">
      <c r="A5" s="109">
        <v>4</v>
      </c>
      <c r="B5" s="165">
        <f t="shared" si="0"/>
        <v>3420.6</v>
      </c>
      <c r="C5" s="165">
        <f>'GS事務組'!E121+'GM資產組'!D121</f>
        <v>1522.5</v>
      </c>
      <c r="D5" s="165">
        <f>'AZ'!E97+'GS事務組'!F97+'GM資產組'!E97</f>
        <v>0</v>
      </c>
      <c r="E5" s="226">
        <v>154.5</v>
      </c>
      <c r="F5" s="146">
        <v>420</v>
      </c>
      <c r="G5" s="165">
        <f>'AZ'!H97+'GS事務組'!I97+'GM資產組'!H97</f>
        <v>0</v>
      </c>
      <c r="H5" s="226">
        <v>446.6</v>
      </c>
      <c r="I5" s="165">
        <f>'AZ'!J97+'GS事務組'!K97+'GM資產組'!J97</f>
        <v>0</v>
      </c>
      <c r="J5" s="165">
        <v>0</v>
      </c>
      <c r="K5" s="165">
        <f>'AZ'!L97+'GS事務組'!M97+'GM資產組'!L97</f>
        <v>0</v>
      </c>
      <c r="L5" s="165">
        <f>'AZ'!M97+'GS事務組'!N97+'GM資產組'!M97</f>
        <v>0</v>
      </c>
      <c r="M5" s="165">
        <f>'AZ'!N97+'GS事務組'!O97+'GM資產組'!N97</f>
        <v>0</v>
      </c>
      <c r="N5" s="226">
        <v>877</v>
      </c>
      <c r="O5" s="165">
        <f>'AZ'!P97+'GS事務組'!Q97+'GM資產組'!P97</f>
        <v>0</v>
      </c>
      <c r="P5" s="165">
        <f>'AZ'!Q97+'GS事務組'!R97+'GM資產組'!Q97</f>
        <v>0</v>
      </c>
      <c r="Q5" s="165">
        <f>'AZ'!R97+'GS事務組'!S97+'GM資產組'!R97</f>
        <v>0</v>
      </c>
      <c r="R5" s="165">
        <f>'AZ'!S97+'GS事務組'!T97+'GM資產組'!S97</f>
        <v>0</v>
      </c>
      <c r="S5" s="165">
        <f>'AZ'!T97+'GS事務組'!U97+'GM資產組'!T97</f>
        <v>0</v>
      </c>
      <c r="T5" s="165">
        <f>'AZ'!U97+'GS事務組'!V97+'GM資產組'!U97</f>
        <v>0</v>
      </c>
      <c r="U5" s="165">
        <f>'AZ'!V97+'GS事務組'!W97+'GM資產組'!V97</f>
        <v>0</v>
      </c>
      <c r="V5" s="165">
        <f>'AZ'!W97+'GS事務組'!X97+'GM資產組'!W97</f>
        <v>0</v>
      </c>
    </row>
    <row r="6" spans="1:22" ht="16.5">
      <c r="A6" s="109">
        <v>5</v>
      </c>
      <c r="B6" s="165">
        <f t="shared" si="0"/>
        <v>4212.200000000001</v>
      </c>
      <c r="C6" s="165">
        <f>'GS事務組'!E122+'GM資產組'!D122</f>
        <v>1947.5</v>
      </c>
      <c r="D6" s="165">
        <f>'AZ'!E98+'GS事務組'!F98+'GM資產組'!E98</f>
        <v>0</v>
      </c>
      <c r="E6" s="226">
        <v>213.3</v>
      </c>
      <c r="F6" s="146">
        <v>360</v>
      </c>
      <c r="G6" s="165">
        <f>'AZ'!H98+'GS事務組'!I98+'GM資產組'!H98</f>
        <v>0</v>
      </c>
      <c r="H6" s="226">
        <v>575.4</v>
      </c>
      <c r="I6" s="165">
        <f>'AZ'!J98+'GS事務組'!K98+'GM資產組'!J98</f>
        <v>0</v>
      </c>
      <c r="J6" s="165">
        <v>0</v>
      </c>
      <c r="K6" s="165">
        <f>'AZ'!L98+'GS事務組'!M98+'GM資產組'!L98</f>
        <v>0</v>
      </c>
      <c r="L6" s="165">
        <f>'AZ'!M98+'GS事務組'!N98+'GM資產組'!M98</f>
        <v>0</v>
      </c>
      <c r="M6" s="165">
        <f>'AZ'!N98+'GS事務組'!O98+'GM資產組'!N98</f>
        <v>0</v>
      </c>
      <c r="N6" s="226">
        <v>1116</v>
      </c>
      <c r="O6" s="165">
        <f>'AZ'!P98+'GS事務組'!Q98+'GM資產組'!P98</f>
        <v>0</v>
      </c>
      <c r="P6" s="165">
        <f>'AZ'!Q98+'GS事務組'!R98+'GM資產組'!Q98</f>
        <v>0</v>
      </c>
      <c r="Q6" s="165">
        <f>'AZ'!R98+'GS事務組'!S98+'GM資產組'!R98</f>
        <v>0</v>
      </c>
      <c r="R6" s="165">
        <f>'AZ'!S98+'GS事務組'!T98+'GM資產組'!S98</f>
        <v>0</v>
      </c>
      <c r="S6" s="165">
        <f>'AZ'!T98+'GS事務組'!U98+'GM資產組'!T98</f>
        <v>0</v>
      </c>
      <c r="T6" s="165">
        <f>'AZ'!U98+'GS事務組'!V98+'GM資產組'!U98</f>
        <v>0</v>
      </c>
      <c r="U6" s="165">
        <f>'AZ'!V98+'GS事務組'!W98+'GM資產組'!V98</f>
        <v>0</v>
      </c>
      <c r="V6" s="165">
        <f>'AZ'!W98+'GS事務組'!X98+'GM資產組'!W98</f>
        <v>0</v>
      </c>
    </row>
    <row r="7" spans="1:22" ht="16.5">
      <c r="A7" s="109">
        <v>6</v>
      </c>
      <c r="B7" s="165">
        <f t="shared" si="0"/>
        <v>4773.5</v>
      </c>
      <c r="C7" s="165">
        <f>'GS事務組'!E123+'GM資產組'!D123</f>
        <v>2414</v>
      </c>
      <c r="D7" s="165">
        <f>'AZ'!E99+'GS事務組'!F99+'GM資產組'!E99</f>
        <v>0</v>
      </c>
      <c r="E7" s="226">
        <v>208.6</v>
      </c>
      <c r="F7" s="146">
        <v>460</v>
      </c>
      <c r="G7" s="165">
        <f>'AZ'!H99+'GS事務組'!I99+'GM資產組'!H99</f>
        <v>0</v>
      </c>
      <c r="H7" s="226">
        <v>516.3</v>
      </c>
      <c r="I7" s="165">
        <f>'AZ'!J99+'GS事務組'!K99+'GM資產組'!J99</f>
        <v>0</v>
      </c>
      <c r="J7" s="165">
        <v>0</v>
      </c>
      <c r="K7" s="165">
        <f>'AZ'!L99+'GS事務組'!M99+'GM資產組'!L99</f>
        <v>0</v>
      </c>
      <c r="L7" s="165">
        <f>'AZ'!M99+'GS事務組'!N99+'GM資產組'!M99</f>
        <v>0</v>
      </c>
      <c r="M7" s="165">
        <f>'AZ'!N99+'GS事務組'!O99+'GM資產組'!N99</f>
        <v>0</v>
      </c>
      <c r="N7" s="226">
        <v>1172.6</v>
      </c>
      <c r="O7" s="165">
        <f>'AZ'!P99+'GS事務組'!Q99+'GM資產組'!P99</f>
        <v>0</v>
      </c>
      <c r="P7" s="165">
        <f>'AZ'!Q99+'GS事務組'!R99+'GM資產組'!Q99</f>
        <v>0</v>
      </c>
      <c r="Q7" s="165">
        <f>'AZ'!R99+'GS事務組'!S99+'GM資產組'!R99</f>
        <v>0</v>
      </c>
      <c r="R7" s="165">
        <f>'AZ'!S99+'GS事務組'!T99+'GM資產組'!S99</f>
        <v>0</v>
      </c>
      <c r="S7" s="165">
        <f>'AZ'!T99+'GS事務組'!U99+'GM資產組'!T99</f>
        <v>0</v>
      </c>
      <c r="T7" s="165">
        <f>'AZ'!U99+'GS事務組'!V99+'GM資產組'!U99</f>
        <v>0</v>
      </c>
      <c r="U7" s="165">
        <f>'AZ'!V99+'GS事務組'!W99+'GM資產組'!V99</f>
        <v>2</v>
      </c>
      <c r="V7" s="165">
        <f>'AZ'!W99+'GS事務組'!X99+'GM資產組'!W99</f>
        <v>0</v>
      </c>
    </row>
    <row r="8" spans="1:22" ht="16.5">
      <c r="A8" s="109">
        <v>7</v>
      </c>
      <c r="B8" s="165">
        <f t="shared" si="0"/>
        <v>2193</v>
      </c>
      <c r="C8" s="165">
        <f>'GS事務組'!E124+'GM資產組'!D124</f>
        <v>898</v>
      </c>
      <c r="D8" s="165">
        <f>'AZ'!E100+'GS事務組'!F100+'GM資產組'!E100</f>
        <v>0</v>
      </c>
      <c r="E8" s="226">
        <v>139</v>
      </c>
      <c r="F8" s="146">
        <v>510</v>
      </c>
      <c r="G8" s="165">
        <f>'AZ'!H100+'GS事務組'!I100+'GM資產組'!H100</f>
        <v>0</v>
      </c>
      <c r="H8" s="226">
        <v>207</v>
      </c>
      <c r="I8" s="165">
        <f>'AZ'!J100+'GS事務組'!K100+'GM資產組'!J100</f>
        <v>0</v>
      </c>
      <c r="J8" s="165">
        <v>0</v>
      </c>
      <c r="K8" s="165">
        <f>'AZ'!L100+'GS事務組'!M100+'GM資產組'!L100</f>
        <v>0</v>
      </c>
      <c r="L8" s="165">
        <f>'AZ'!M100+'GS事務組'!N100+'GM資產組'!M100</f>
        <v>0</v>
      </c>
      <c r="M8" s="165">
        <f>'AZ'!N100+'GS事務組'!O100+'GM資產組'!N100</f>
        <v>0</v>
      </c>
      <c r="N8" s="226">
        <v>439</v>
      </c>
      <c r="O8" s="165">
        <f>'AZ'!P100+'GS事務組'!Q100+'GM資產組'!P100</f>
        <v>0</v>
      </c>
      <c r="P8" s="165">
        <f>'AZ'!Q100+'GS事務組'!R100+'GM資產組'!Q100</f>
        <v>0</v>
      </c>
      <c r="Q8" s="165">
        <f>'AZ'!R100+'GS事務組'!S100+'GM資產組'!R100</f>
        <v>0</v>
      </c>
      <c r="R8" s="165">
        <f>'AZ'!S100+'GS事務組'!T100+'GM資產組'!S100</f>
        <v>0</v>
      </c>
      <c r="S8" s="165">
        <f>'AZ'!T100+'GS事務組'!U100+'GM資產組'!T100</f>
        <v>0</v>
      </c>
      <c r="T8" s="165">
        <f>'AZ'!U100+'GS事務組'!V100+'GM資產組'!U100</f>
        <v>0</v>
      </c>
      <c r="U8" s="165">
        <f>'AZ'!V100+'GS事務組'!W100+'GM資產組'!V100</f>
        <v>0</v>
      </c>
      <c r="V8" s="165">
        <f>'AZ'!W100+'GS事務組'!X100+'GM資產組'!W100</f>
        <v>0</v>
      </c>
    </row>
    <row r="9" spans="1:22" ht="16.5">
      <c r="A9" s="109">
        <v>8</v>
      </c>
      <c r="B9" s="165">
        <f t="shared" si="0"/>
        <v>2225.3</v>
      </c>
      <c r="C9" s="165">
        <f>'GS事務組'!E125+'GM資產組'!D125</f>
        <v>860</v>
      </c>
      <c r="D9" s="165">
        <f>'AZ'!E101+'GS事務組'!G101+'GM資產組'!E101</f>
        <v>17.3</v>
      </c>
      <c r="E9" s="226">
        <v>106.5</v>
      </c>
      <c r="F9" s="146">
        <v>660</v>
      </c>
      <c r="G9" s="165">
        <f>'AZ'!H101+'GS事務組'!I101+'GM資產組'!H101</f>
        <v>0</v>
      </c>
      <c r="H9" s="226">
        <v>229</v>
      </c>
      <c r="I9" s="165">
        <f>'AZ'!J101+'GS事務組'!K101+'GM資產組'!J101</f>
        <v>0</v>
      </c>
      <c r="J9" s="165">
        <v>0</v>
      </c>
      <c r="K9" s="165">
        <f>'AZ'!L101+'GS事務組'!M101+'GM資產組'!L101</f>
        <v>0</v>
      </c>
      <c r="L9" s="165">
        <f>'AZ'!M101+'GS事務組'!N101+'GM資產組'!M101</f>
        <v>0</v>
      </c>
      <c r="M9" s="165">
        <f>'AZ'!N101+'GS事務組'!O101+'GM資產組'!N101</f>
        <v>0</v>
      </c>
      <c r="N9" s="226">
        <v>352.5</v>
      </c>
      <c r="O9" s="165">
        <f>'AZ'!P101+'GS事務組'!Q101+'GM資產組'!P101</f>
        <v>0</v>
      </c>
      <c r="P9" s="165">
        <f>'AZ'!Q101+'GS事務組'!R101+'GM資產組'!Q101</f>
        <v>0</v>
      </c>
      <c r="Q9" s="165">
        <f>'AZ'!R101+'GS事務組'!S101+'GM資產組'!R101</f>
        <v>0</v>
      </c>
      <c r="R9" s="165">
        <f>'AZ'!S101+'GS事務組'!T101+'GM資產組'!S101</f>
        <v>0</v>
      </c>
      <c r="S9" s="165">
        <f>'AZ'!T101+'GS事務組'!U101+'GM資產組'!T101</f>
        <v>0</v>
      </c>
      <c r="T9" s="165">
        <f>'AZ'!U101+'GS事務組'!V101+'GM資產組'!U101</f>
        <v>0</v>
      </c>
      <c r="U9" s="165">
        <f>'AZ'!V101+'GS事務組'!W101+'GM資產組'!V101</f>
        <v>0</v>
      </c>
      <c r="V9" s="165">
        <f>'AZ'!W101+'GS事務組'!X101+'GM資產組'!W101</f>
        <v>0</v>
      </c>
    </row>
    <row r="10" spans="1:22" ht="16.5">
      <c r="A10" s="109">
        <v>9</v>
      </c>
      <c r="B10" s="165">
        <f t="shared" si="0"/>
        <v>4708.1</v>
      </c>
      <c r="C10" s="165">
        <f>'GS事務組'!E126+'GM資產組'!D126</f>
        <v>2219.4</v>
      </c>
      <c r="D10" s="165">
        <f>'AZ'!E102+'GS事務組'!G102+'GM資產組'!E102</f>
        <v>88</v>
      </c>
      <c r="E10" s="226">
        <v>198.1</v>
      </c>
      <c r="F10" s="146">
        <v>760</v>
      </c>
      <c r="G10" s="165">
        <f>'AZ'!H102+'GS事務組'!I102+'GM資產組'!H102</f>
        <v>0</v>
      </c>
      <c r="H10" s="226">
        <v>513.6</v>
      </c>
      <c r="I10" s="165">
        <f>'AZ'!J102+'GS事務組'!K102+'GM資產組'!J102</f>
        <v>0</v>
      </c>
      <c r="J10" s="165">
        <v>0</v>
      </c>
      <c r="K10" s="165">
        <f>'AZ'!L102+'GS事務組'!M102+'GM資產組'!L102</f>
        <v>0</v>
      </c>
      <c r="L10" s="165">
        <f>'AZ'!M102+'GS事務組'!N102+'GM資產組'!M102</f>
        <v>0</v>
      </c>
      <c r="M10" s="165">
        <f>'AZ'!N102+'GS事務組'!O102+'GM資產組'!N102</f>
        <v>0</v>
      </c>
      <c r="N10" s="226">
        <v>929</v>
      </c>
      <c r="O10" s="165">
        <f>'AZ'!P102+'GS事務組'!Q102+'GM資產組'!P102</f>
        <v>0</v>
      </c>
      <c r="P10" s="165">
        <f>'AZ'!Q102+'GS事務組'!R102+'GM資產組'!Q102</f>
        <v>0</v>
      </c>
      <c r="Q10" s="165">
        <f>'AZ'!R102+'GS事務組'!S102+'GM資產組'!R102</f>
        <v>0</v>
      </c>
      <c r="R10" s="165">
        <f>'AZ'!S102+'GS事務組'!T102+'GM資產組'!S102</f>
        <v>0</v>
      </c>
      <c r="S10" s="165">
        <f>'AZ'!T102+'GS事務組'!U102+'GM資產組'!T102</f>
        <v>0</v>
      </c>
      <c r="T10" s="165">
        <f>'AZ'!U102+'GS事務組'!V102+'GM資產組'!U102</f>
        <v>0</v>
      </c>
      <c r="U10" s="165">
        <f>'AZ'!V102+'GS事務組'!W102+'GM資產組'!V102</f>
        <v>0</v>
      </c>
      <c r="V10" s="165">
        <f>'AZ'!W102+'GS事務組'!X102+'GM資產組'!W102</f>
        <v>0</v>
      </c>
    </row>
    <row r="11" spans="1:22" ht="16.5">
      <c r="A11" s="109">
        <v>10</v>
      </c>
      <c r="B11" s="165">
        <f t="shared" si="0"/>
        <v>5116.2</v>
      </c>
      <c r="C11" s="165">
        <f>'GS事務組'!E127+'GM資產組'!D127</f>
        <v>2019</v>
      </c>
      <c r="D11" s="165">
        <f>'AZ'!E103+'GS事務組'!F103+'GM資產組'!E103</f>
        <v>0</v>
      </c>
      <c r="E11" s="226">
        <v>1590.8</v>
      </c>
      <c r="F11" s="146">
        <v>660</v>
      </c>
      <c r="G11" s="165">
        <f>'AZ'!H103+'GS事務組'!I103+'GM資產組'!H103</f>
        <v>0</v>
      </c>
      <c r="H11" s="226">
        <v>532.4</v>
      </c>
      <c r="I11" s="165">
        <f>'AZ'!J103+'GS事務組'!K103+'GM資產組'!J103</f>
        <v>0</v>
      </c>
      <c r="J11" s="165">
        <v>0</v>
      </c>
      <c r="K11" s="165">
        <f>'AZ'!L103+'GS事務組'!M103+'GM資產組'!L103</f>
        <v>0</v>
      </c>
      <c r="L11" s="165">
        <f>'AZ'!M103+'GS事務組'!N103+'GM資產組'!M103</f>
        <v>0</v>
      </c>
      <c r="M11" s="165">
        <f>'AZ'!N103+'GS事務組'!O103+'GM資產組'!N103</f>
        <v>0</v>
      </c>
      <c r="N11" s="226">
        <v>314</v>
      </c>
      <c r="O11" s="165">
        <f>'AZ'!P103+'GS事務組'!Q103+'GM資產組'!P103</f>
        <v>0</v>
      </c>
      <c r="P11" s="165">
        <f>'AZ'!Q103+'GS事務組'!R103+'GM資產組'!Q103</f>
        <v>0</v>
      </c>
      <c r="Q11" s="165">
        <f>'AZ'!R103+'GS事務組'!S103+'GM資產組'!R103</f>
        <v>0</v>
      </c>
      <c r="R11" s="165">
        <f>'AZ'!S103+'GS事務組'!T103+'GM資產組'!S103</f>
        <v>0</v>
      </c>
      <c r="S11" s="165">
        <f>'AZ'!T103+'GS事務組'!U103+'GM資產組'!T103</f>
        <v>0</v>
      </c>
      <c r="T11" s="165">
        <f>'AZ'!U103+'GS事務組'!V103+'GM資產組'!U103</f>
        <v>0</v>
      </c>
      <c r="U11" s="165">
        <f>'AZ'!V103+'GS事務組'!W103+'GM資產組'!V103</f>
        <v>0</v>
      </c>
      <c r="V11" s="165">
        <f>'AZ'!W103+'GS事務組'!X103+'GM資產組'!W103</f>
        <v>0</v>
      </c>
    </row>
    <row r="12" spans="1:22" ht="16.5">
      <c r="A12" s="109">
        <v>11</v>
      </c>
      <c r="B12" s="165" t="e">
        <f t="shared" si="0"/>
        <v>#REF!</v>
      </c>
      <c r="C12" s="165" t="e">
        <f>GS事務組!#REF!+'GM資產組'!D128</f>
        <v>#REF!</v>
      </c>
      <c r="D12" s="165">
        <f>'AZ'!E104+'GS事務組'!F104+'GM資產組'!E104</f>
        <v>0</v>
      </c>
      <c r="E12" s="226">
        <v>0</v>
      </c>
      <c r="F12" s="146">
        <v>0</v>
      </c>
      <c r="G12" s="165">
        <f>'AZ'!H104+'GS事務組'!I104+'GM資產組'!H104</f>
        <v>0</v>
      </c>
      <c r="H12" s="226">
        <v>0</v>
      </c>
      <c r="I12" s="165">
        <f>'AZ'!J104+'GS事務組'!K104+'GM資產組'!J104</f>
        <v>0</v>
      </c>
      <c r="J12" s="165">
        <v>0</v>
      </c>
      <c r="K12" s="165">
        <f>'AZ'!L104+'GS事務組'!M104+'GM資產組'!L104</f>
        <v>0</v>
      </c>
      <c r="L12" s="165">
        <f>'AZ'!M104+'GS事務組'!N104+'GM資產組'!M104</f>
        <v>0</v>
      </c>
      <c r="M12" s="165">
        <f>'AZ'!N104+'GS事務組'!O104+'GM資產組'!N104</f>
        <v>0</v>
      </c>
      <c r="N12" s="226">
        <v>0</v>
      </c>
      <c r="O12" s="165">
        <f>'AZ'!P104+'GS事務組'!Q104+'GM資產組'!P104</f>
        <v>0</v>
      </c>
      <c r="P12" s="165">
        <f>'AZ'!Q104+'GS事務組'!R104+'GM資產組'!Q104</f>
        <v>0</v>
      </c>
      <c r="Q12" s="165">
        <f>'AZ'!R104+'GS事務組'!S104+'GM資產組'!R104</f>
        <v>0</v>
      </c>
      <c r="R12" s="165">
        <f>'AZ'!S104+'GS事務組'!T104+'GM資產組'!S104</f>
        <v>0</v>
      </c>
      <c r="S12" s="165">
        <f>'AZ'!T104+'GS事務組'!U104+'GM資產組'!T104</f>
        <v>0</v>
      </c>
      <c r="T12" s="165">
        <f>'AZ'!U104+'GS事務組'!V104+'GM資產組'!U104</f>
        <v>0</v>
      </c>
      <c r="U12" s="165">
        <f>'AZ'!V104+'GS事務組'!W104+'GM資產組'!V104</f>
        <v>0</v>
      </c>
      <c r="V12" s="165">
        <f>'AZ'!W104+'GS事務組'!X104+'GM資產組'!W104</f>
        <v>0</v>
      </c>
    </row>
    <row r="13" spans="1:22" ht="17.25" thickBot="1">
      <c r="A13" s="113">
        <v>12</v>
      </c>
      <c r="B13" s="165" t="e">
        <f t="shared" si="0"/>
        <v>#REF!</v>
      </c>
      <c r="C13" s="165" t="e">
        <f>GS事務組!#REF!+'GM資產組'!D129</f>
        <v>#REF!</v>
      </c>
      <c r="D13" s="165">
        <f>'AZ'!E105+'GS事務組'!F105+'GM資產組'!E105</f>
        <v>0</v>
      </c>
      <c r="E13" s="226">
        <v>0</v>
      </c>
      <c r="F13" s="148">
        <v>0</v>
      </c>
      <c r="G13" s="165">
        <f>'AZ'!H105+'GS事務組'!I105+'GM資產組'!H105</f>
        <v>0</v>
      </c>
      <c r="H13" s="226">
        <v>0</v>
      </c>
      <c r="I13" s="165">
        <f>'AZ'!J105+'GS事務組'!K105+'GM資產組'!J105</f>
        <v>0</v>
      </c>
      <c r="J13" s="165">
        <v>0</v>
      </c>
      <c r="K13" s="165">
        <f>'AZ'!L105+'GS事務組'!M105+'GM資產組'!L105</f>
        <v>0</v>
      </c>
      <c r="L13" s="165">
        <f>'AZ'!M105+'GS事務組'!N105+'GM資產組'!M105</f>
        <v>0</v>
      </c>
      <c r="M13" s="165">
        <f>'AZ'!N105+'GS事務組'!O105+'GM資產組'!N105</f>
        <v>0</v>
      </c>
      <c r="N13" s="226">
        <v>0</v>
      </c>
      <c r="O13" s="165">
        <f>'AZ'!P105+'GS事務組'!Q105+'GM資產組'!P105</f>
        <v>0</v>
      </c>
      <c r="P13" s="165">
        <f>'AZ'!Q105+'GS事務組'!R105+'GM資產組'!Q105</f>
        <v>0</v>
      </c>
      <c r="Q13" s="165">
        <f>'AZ'!R105+'GS事務組'!S105+'GM資產組'!R105</f>
        <v>0</v>
      </c>
      <c r="R13" s="165">
        <f>'AZ'!S105+'GS事務組'!T105+'GM資產組'!S105</f>
        <v>0</v>
      </c>
      <c r="S13" s="165">
        <f>'AZ'!T105+'GS事務組'!U105+'GM資產組'!T105</f>
        <v>0</v>
      </c>
      <c r="T13" s="165">
        <f>'AZ'!U105+'GS事務組'!V105+'GM資產組'!U105</f>
        <v>0</v>
      </c>
      <c r="U13" s="165">
        <f>'AZ'!V105+'GS事務組'!W105+'GM資產組'!V105</f>
        <v>0</v>
      </c>
      <c r="V13" s="165">
        <f>'AZ'!W105+'GS事務組'!X105+'GM資產組'!W105</f>
        <v>0</v>
      </c>
    </row>
    <row r="14" spans="1:22" ht="17.25" thickTop="1">
      <c r="A14" s="267" t="s">
        <v>27</v>
      </c>
      <c r="B14" s="268" t="e">
        <f aca="true" t="shared" si="1" ref="B14:V14">SUM(B2:B13)</f>
        <v>#REF!</v>
      </c>
      <c r="C14" s="269" t="e">
        <f t="shared" si="1"/>
        <v>#REF!</v>
      </c>
      <c r="D14" s="269">
        <f t="shared" si="1"/>
        <v>105.3</v>
      </c>
      <c r="E14" s="269">
        <f t="shared" si="1"/>
        <v>2995.7</v>
      </c>
      <c r="F14" s="269">
        <f t="shared" si="1"/>
        <v>5270</v>
      </c>
      <c r="G14" s="269">
        <f t="shared" si="1"/>
        <v>0</v>
      </c>
      <c r="H14" s="269">
        <f t="shared" si="1"/>
        <v>3911.3</v>
      </c>
      <c r="I14" s="269">
        <f t="shared" si="1"/>
        <v>0</v>
      </c>
      <c r="J14" s="269">
        <f t="shared" si="1"/>
        <v>0</v>
      </c>
      <c r="K14" s="269">
        <f t="shared" si="1"/>
        <v>0</v>
      </c>
      <c r="L14" s="269">
        <f t="shared" si="1"/>
        <v>0</v>
      </c>
      <c r="M14" s="269">
        <f t="shared" si="1"/>
        <v>0</v>
      </c>
      <c r="N14" s="269">
        <f t="shared" si="1"/>
        <v>7035.5</v>
      </c>
      <c r="O14" s="269">
        <f t="shared" si="1"/>
        <v>0</v>
      </c>
      <c r="P14" s="269">
        <f t="shared" si="1"/>
        <v>0</v>
      </c>
      <c r="Q14" s="269">
        <f t="shared" si="1"/>
        <v>0</v>
      </c>
      <c r="R14" s="269">
        <f t="shared" si="1"/>
        <v>0</v>
      </c>
      <c r="S14" s="269">
        <f t="shared" si="1"/>
        <v>0</v>
      </c>
      <c r="T14" s="269">
        <f t="shared" si="1"/>
        <v>0</v>
      </c>
      <c r="U14" s="269">
        <f t="shared" si="1"/>
        <v>2</v>
      </c>
      <c r="V14" s="270">
        <f t="shared" si="1"/>
        <v>0</v>
      </c>
    </row>
    <row r="15" spans="1:22" ht="30.75" thickBot="1">
      <c r="A15" s="271" t="s">
        <v>48</v>
      </c>
      <c r="B15" s="272" t="e">
        <f>B14/12</f>
        <v>#REF!</v>
      </c>
      <c r="C15" s="272" t="e">
        <f aca="true" t="shared" si="2" ref="C15:V15">C14/12</f>
        <v>#REF!</v>
      </c>
      <c r="D15" s="272">
        <f t="shared" si="2"/>
        <v>8.775</v>
      </c>
      <c r="E15" s="272">
        <f t="shared" si="2"/>
        <v>249.64166666666665</v>
      </c>
      <c r="F15" s="272">
        <f t="shared" si="2"/>
        <v>439.1666666666667</v>
      </c>
      <c r="G15" s="272">
        <f t="shared" si="2"/>
        <v>0</v>
      </c>
      <c r="H15" s="272">
        <f t="shared" si="2"/>
        <v>325.94166666666666</v>
      </c>
      <c r="I15" s="272">
        <f t="shared" si="2"/>
        <v>0</v>
      </c>
      <c r="J15" s="272">
        <f t="shared" si="2"/>
        <v>0</v>
      </c>
      <c r="K15" s="272">
        <f t="shared" si="2"/>
        <v>0</v>
      </c>
      <c r="L15" s="272">
        <f t="shared" si="2"/>
        <v>0</v>
      </c>
      <c r="M15" s="272">
        <f t="shared" si="2"/>
        <v>0</v>
      </c>
      <c r="N15" s="272">
        <f t="shared" si="2"/>
        <v>586.2916666666666</v>
      </c>
      <c r="O15" s="272">
        <f t="shared" si="2"/>
        <v>0</v>
      </c>
      <c r="P15" s="272">
        <f t="shared" si="2"/>
        <v>0</v>
      </c>
      <c r="Q15" s="272">
        <f t="shared" si="2"/>
        <v>0</v>
      </c>
      <c r="R15" s="272">
        <f t="shared" si="2"/>
        <v>0</v>
      </c>
      <c r="S15" s="272">
        <f t="shared" si="2"/>
        <v>0</v>
      </c>
      <c r="T15" s="272">
        <f t="shared" si="2"/>
        <v>0</v>
      </c>
      <c r="U15" s="272">
        <f t="shared" si="2"/>
        <v>0.16666666666666666</v>
      </c>
      <c r="V15" s="273">
        <f t="shared" si="2"/>
        <v>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V15"/>
  <sheetViews>
    <sheetView zoomScalePageLayoutView="0" workbookViewId="0" topLeftCell="A1">
      <selection activeCell="N2" sqref="N2"/>
    </sheetView>
  </sheetViews>
  <sheetFormatPr defaultColWidth="9.00390625" defaultRowHeight="16.5"/>
  <cols>
    <col min="2" max="2" width="9.375" style="0" bestFit="1" customWidth="1"/>
  </cols>
  <sheetData>
    <row r="1" spans="1:22" ht="60">
      <c r="A1" s="136" t="s">
        <v>155</v>
      </c>
      <c r="B1" s="137" t="s">
        <v>50</v>
      </c>
      <c r="C1" s="137" t="s">
        <v>2</v>
      </c>
      <c r="D1" s="137" t="s">
        <v>3</v>
      </c>
      <c r="E1" s="137" t="s">
        <v>4</v>
      </c>
      <c r="F1" s="137" t="s">
        <v>20</v>
      </c>
      <c r="G1" s="137" t="s">
        <v>36</v>
      </c>
      <c r="H1" s="137" t="s">
        <v>21</v>
      </c>
      <c r="I1" s="137" t="s">
        <v>22</v>
      </c>
      <c r="J1" s="137" t="s">
        <v>9</v>
      </c>
      <c r="K1" s="137" t="s">
        <v>10</v>
      </c>
      <c r="L1" s="137" t="s">
        <v>11</v>
      </c>
      <c r="M1" s="137" t="s">
        <v>12</v>
      </c>
      <c r="N1" s="137" t="s">
        <v>13</v>
      </c>
      <c r="O1" s="137" t="s">
        <v>14</v>
      </c>
      <c r="P1" s="137" t="s">
        <v>15</v>
      </c>
      <c r="Q1" s="137" t="s">
        <v>23</v>
      </c>
      <c r="R1" s="137" t="s">
        <v>60</v>
      </c>
      <c r="S1" s="137" t="s">
        <v>54</v>
      </c>
      <c r="T1" s="137" t="s">
        <v>25</v>
      </c>
      <c r="U1" s="137" t="s">
        <v>26</v>
      </c>
      <c r="V1" s="138" t="s">
        <v>49</v>
      </c>
    </row>
    <row r="2" spans="1:22" ht="16.5">
      <c r="A2" s="109">
        <v>1</v>
      </c>
      <c r="B2" s="165">
        <f>SUM(C2:V2)</f>
        <v>1796.5</v>
      </c>
      <c r="C2" s="165">
        <f>'GS事務組'!E130</f>
        <v>1259.2</v>
      </c>
      <c r="D2" s="165">
        <v>0</v>
      </c>
      <c r="E2" s="248">
        <f>'GS事務組'!G130</f>
        <v>113.7</v>
      </c>
      <c r="F2" s="180"/>
      <c r="G2" s="165"/>
      <c r="H2" s="248">
        <f>'GS事務組'!J130</f>
        <v>186.1</v>
      </c>
      <c r="I2" s="165"/>
      <c r="J2" s="165"/>
      <c r="K2" s="165"/>
      <c r="L2" s="165"/>
      <c r="M2" s="165"/>
      <c r="N2" s="248">
        <f>'GS事務組'!P130</f>
        <v>237.5</v>
      </c>
      <c r="O2" s="165"/>
      <c r="P2" s="165"/>
      <c r="Q2" s="165"/>
      <c r="R2" s="165"/>
      <c r="S2" s="165"/>
      <c r="T2" s="165"/>
      <c r="U2" s="165"/>
      <c r="V2" s="165"/>
    </row>
    <row r="3" spans="1:22" ht="16.5">
      <c r="A3" s="109">
        <v>2</v>
      </c>
      <c r="B3" s="165">
        <f aca="true" t="shared" si="0" ref="B3:B13">SUM(C3:V3)</f>
        <v>776.6</v>
      </c>
      <c r="C3" s="165">
        <f>'GS事務組'!E131</f>
        <v>488.2</v>
      </c>
      <c r="D3" s="165">
        <v>0</v>
      </c>
      <c r="E3" s="248">
        <f>'GS事務組'!G131</f>
        <v>58</v>
      </c>
      <c r="F3" s="146"/>
      <c r="G3" s="165"/>
      <c r="H3" s="248">
        <f>'GS事務組'!J131</f>
        <v>155.4</v>
      </c>
      <c r="I3" s="165"/>
      <c r="J3" s="165"/>
      <c r="K3" s="165"/>
      <c r="L3" s="165"/>
      <c r="M3" s="165"/>
      <c r="N3" s="248">
        <f>'GS事務組'!P131</f>
        <v>75</v>
      </c>
      <c r="O3" s="165"/>
      <c r="P3" s="165"/>
      <c r="Q3" s="165"/>
      <c r="R3" s="165"/>
      <c r="S3" s="165"/>
      <c r="T3" s="165"/>
      <c r="U3" s="165"/>
      <c r="V3" s="165"/>
    </row>
    <row r="4" spans="1:22" ht="16.5">
      <c r="A4" s="109">
        <v>3</v>
      </c>
      <c r="B4" s="165">
        <f t="shared" si="0"/>
        <v>3219</v>
      </c>
      <c r="C4" s="165">
        <f>'GS事務組'!E132</f>
        <v>1968.1</v>
      </c>
      <c r="D4" s="165">
        <v>0</v>
      </c>
      <c r="E4" s="248">
        <f>'GS事務組'!G132</f>
        <v>246</v>
      </c>
      <c r="F4" s="146"/>
      <c r="G4" s="165"/>
      <c r="H4" s="248">
        <f>'GS事務組'!J132</f>
        <v>624.9</v>
      </c>
      <c r="I4" s="165"/>
      <c r="J4" s="165"/>
      <c r="K4" s="165"/>
      <c r="L4" s="165"/>
      <c r="M4" s="165"/>
      <c r="N4" s="248">
        <f>'GS事務組'!P132</f>
        <v>380</v>
      </c>
      <c r="O4" s="165"/>
      <c r="P4" s="165"/>
      <c r="Q4" s="165"/>
      <c r="R4" s="165"/>
      <c r="S4" s="165"/>
      <c r="T4" s="165"/>
      <c r="U4" s="165"/>
      <c r="V4" s="165"/>
    </row>
    <row r="5" spans="1:22" ht="16.5">
      <c r="A5" s="109">
        <v>4</v>
      </c>
      <c r="B5" s="165">
        <f t="shared" si="0"/>
        <v>2115.9</v>
      </c>
      <c r="C5" s="165">
        <f>'GS事務組'!E133</f>
        <v>1214.4</v>
      </c>
      <c r="D5" s="165">
        <v>0</v>
      </c>
      <c r="E5" s="248">
        <f>'GS事務組'!G133</f>
        <v>188.4</v>
      </c>
      <c r="F5" s="146"/>
      <c r="G5" s="165"/>
      <c r="H5" s="248">
        <f>'GS事務組'!J133</f>
        <v>465.09999999999997</v>
      </c>
      <c r="I5" s="165"/>
      <c r="J5" s="165"/>
      <c r="K5" s="165"/>
      <c r="L5" s="165"/>
      <c r="M5" s="165"/>
      <c r="N5" s="248">
        <f>'GS事務組'!P133</f>
        <v>248</v>
      </c>
      <c r="O5" s="165"/>
      <c r="P5" s="165"/>
      <c r="Q5" s="165"/>
      <c r="R5" s="165"/>
      <c r="S5" s="165"/>
      <c r="T5" s="165"/>
      <c r="U5" s="165"/>
      <c r="V5" s="165"/>
    </row>
    <row r="6" spans="1:22" ht="16.5">
      <c r="A6" s="109">
        <v>5</v>
      </c>
      <c r="B6" s="165">
        <f t="shared" si="0"/>
        <v>2684.7</v>
      </c>
      <c r="C6" s="165">
        <f>'GS事務組'!E134</f>
        <v>1576.1</v>
      </c>
      <c r="D6" s="165">
        <v>0</v>
      </c>
      <c r="E6" s="248">
        <f>'GS事務組'!G134</f>
        <v>183.7</v>
      </c>
      <c r="F6" s="146"/>
      <c r="G6" s="165"/>
      <c r="H6" s="248">
        <f>'GS事務組'!J134</f>
        <v>546.9000000000001</v>
      </c>
      <c r="I6" s="165"/>
      <c r="J6" s="165"/>
      <c r="K6" s="165"/>
      <c r="L6" s="165"/>
      <c r="M6" s="165"/>
      <c r="N6" s="248">
        <f>'GS事務組'!P134</f>
        <v>378</v>
      </c>
      <c r="O6" s="165"/>
      <c r="P6" s="165"/>
      <c r="Q6" s="165"/>
      <c r="R6" s="165"/>
      <c r="S6" s="165"/>
      <c r="T6" s="165"/>
      <c r="U6" s="165"/>
      <c r="V6" s="165"/>
    </row>
    <row r="7" spans="1:22" ht="16.5">
      <c r="A7" s="109">
        <v>6</v>
      </c>
      <c r="B7" s="165">
        <f t="shared" si="0"/>
        <v>4296.3</v>
      </c>
      <c r="C7" s="165">
        <f>'GS事務組'!E135</f>
        <v>2846.1</v>
      </c>
      <c r="D7" s="165">
        <v>0</v>
      </c>
      <c r="E7" s="248">
        <f>'GS事務組'!G135</f>
        <v>247.89999999999998</v>
      </c>
      <c r="F7" s="146"/>
      <c r="G7" s="165"/>
      <c r="H7" s="248">
        <f>'GS事務組'!J135</f>
        <v>504.3</v>
      </c>
      <c r="I7" s="165"/>
      <c r="J7" s="165"/>
      <c r="K7" s="165"/>
      <c r="L7" s="165"/>
      <c r="M7" s="165"/>
      <c r="N7" s="248">
        <f>'GS事務組'!P135</f>
        <v>698</v>
      </c>
      <c r="O7" s="165"/>
      <c r="P7" s="165"/>
      <c r="Q7" s="165"/>
      <c r="R7" s="165"/>
      <c r="S7" s="165"/>
      <c r="T7" s="165"/>
      <c r="U7" s="165"/>
      <c r="V7" s="165"/>
    </row>
    <row r="8" spans="1:22" ht="16.5">
      <c r="A8" s="109">
        <v>7</v>
      </c>
      <c r="B8" s="165">
        <f t="shared" si="0"/>
        <v>885.5999999999999</v>
      </c>
      <c r="C8" s="165">
        <f>'GS事務組'!E136</f>
        <v>649.3</v>
      </c>
      <c r="D8" s="165">
        <v>0</v>
      </c>
      <c r="E8" s="248">
        <f>'GS事務組'!G136</f>
        <v>56.3</v>
      </c>
      <c r="F8" s="146"/>
      <c r="G8" s="165"/>
      <c r="H8" s="248">
        <f>'GS事務組'!J136</f>
        <v>123</v>
      </c>
      <c r="I8" s="165"/>
      <c r="J8" s="165"/>
      <c r="K8" s="165"/>
      <c r="L8" s="165"/>
      <c r="M8" s="165"/>
      <c r="N8" s="248">
        <f>'GS事務組'!P136</f>
        <v>57</v>
      </c>
      <c r="O8" s="165"/>
      <c r="P8" s="165"/>
      <c r="Q8" s="165"/>
      <c r="R8" s="165"/>
      <c r="S8" s="165"/>
      <c r="T8" s="165"/>
      <c r="U8" s="165"/>
      <c r="V8" s="165"/>
    </row>
    <row r="9" spans="1:22" ht="16.5">
      <c r="A9" s="109">
        <v>8</v>
      </c>
      <c r="B9" s="165">
        <f t="shared" si="0"/>
        <v>1285.6</v>
      </c>
      <c r="C9" s="165">
        <f>'GS事務組'!E137</f>
        <v>1033</v>
      </c>
      <c r="D9" s="165">
        <v>0</v>
      </c>
      <c r="E9" s="248">
        <f>'GS事務組'!G137</f>
        <v>37.6</v>
      </c>
      <c r="F9" s="146"/>
      <c r="G9" s="165"/>
      <c r="H9" s="248">
        <f>'GS事務組'!J137</f>
        <v>138</v>
      </c>
      <c r="I9" s="165"/>
      <c r="J9" s="165"/>
      <c r="K9" s="165"/>
      <c r="L9" s="165"/>
      <c r="M9" s="165"/>
      <c r="N9" s="248">
        <f>'GS事務組'!P137</f>
        <v>77</v>
      </c>
      <c r="O9" s="165"/>
      <c r="P9" s="165"/>
      <c r="Q9" s="165"/>
      <c r="R9" s="165"/>
      <c r="S9" s="165"/>
      <c r="T9" s="165"/>
      <c r="U9" s="165"/>
      <c r="V9" s="165"/>
    </row>
    <row r="10" spans="1:22" ht="16.5">
      <c r="A10" s="109">
        <v>9</v>
      </c>
      <c r="B10" s="165">
        <f t="shared" si="0"/>
        <v>2816</v>
      </c>
      <c r="C10" s="165">
        <f>'GS事務組'!E138</f>
        <v>1920.4</v>
      </c>
      <c r="D10" s="165">
        <v>0</v>
      </c>
      <c r="E10" s="248">
        <f>'GS事務組'!G138</f>
        <v>209.5</v>
      </c>
      <c r="F10" s="146"/>
      <c r="G10" s="165"/>
      <c r="H10" s="248">
        <f>'GS事務組'!J138</f>
        <v>423.1</v>
      </c>
      <c r="I10" s="165"/>
      <c r="J10" s="165"/>
      <c r="K10" s="165"/>
      <c r="L10" s="165"/>
      <c r="M10" s="165"/>
      <c r="N10" s="248">
        <f>'GS事務組'!P138</f>
        <v>263</v>
      </c>
      <c r="O10" s="165"/>
      <c r="P10" s="165"/>
      <c r="Q10" s="165"/>
      <c r="R10" s="165"/>
      <c r="S10" s="165"/>
      <c r="T10" s="165"/>
      <c r="U10" s="165"/>
      <c r="V10" s="165"/>
    </row>
    <row r="11" spans="1:22" ht="16.5">
      <c r="A11" s="109">
        <v>10</v>
      </c>
      <c r="B11" s="165">
        <f t="shared" si="0"/>
        <v>2524.2</v>
      </c>
      <c r="C11" s="165">
        <f>'GS事務組'!E139</f>
        <v>1600.1999999999998</v>
      </c>
      <c r="D11" s="165">
        <v>0</v>
      </c>
      <c r="E11" s="248">
        <f>'GS事務組'!G139</f>
        <v>179.29999999999998</v>
      </c>
      <c r="F11" s="146"/>
      <c r="G11" s="165"/>
      <c r="H11" s="248">
        <f>'GS事務組'!J139</f>
        <v>490.70000000000005</v>
      </c>
      <c r="I11" s="165"/>
      <c r="J11" s="165"/>
      <c r="K11" s="165"/>
      <c r="L11" s="165"/>
      <c r="M11" s="165"/>
      <c r="N11" s="248">
        <f>'GS事務組'!P139</f>
        <v>254</v>
      </c>
      <c r="O11" s="165"/>
      <c r="P11" s="165"/>
      <c r="Q11" s="165"/>
      <c r="R11" s="165"/>
      <c r="S11" s="165"/>
      <c r="T11" s="165"/>
      <c r="U11" s="165"/>
      <c r="V11" s="165"/>
    </row>
    <row r="12" spans="1:22" ht="16.5">
      <c r="A12" s="109">
        <v>11</v>
      </c>
      <c r="B12" s="165">
        <f t="shared" si="0"/>
        <v>2753.3</v>
      </c>
      <c r="C12" s="165">
        <f>'GS事務組'!E140</f>
        <v>1752.6</v>
      </c>
      <c r="D12" s="165">
        <v>0</v>
      </c>
      <c r="E12" s="248">
        <f>'GS事務組'!G140</f>
        <v>183.7</v>
      </c>
      <c r="F12" s="146"/>
      <c r="G12" s="165"/>
      <c r="H12" s="248">
        <f>'GS事務組'!J140</f>
        <v>520.0000000000001</v>
      </c>
      <c r="I12" s="165"/>
      <c r="J12" s="165"/>
      <c r="K12" s="165"/>
      <c r="L12" s="165"/>
      <c r="M12" s="165"/>
      <c r="N12" s="248">
        <f>'GS事務組'!P140</f>
        <v>297</v>
      </c>
      <c r="O12" s="165"/>
      <c r="P12" s="165"/>
      <c r="Q12" s="165"/>
      <c r="R12" s="165"/>
      <c r="S12" s="165"/>
      <c r="T12" s="165"/>
      <c r="U12" s="165"/>
      <c r="V12" s="165"/>
    </row>
    <row r="13" spans="1:22" ht="17.25" thickBot="1">
      <c r="A13" s="113">
        <v>12</v>
      </c>
      <c r="B13" s="165">
        <f t="shared" si="0"/>
        <v>2735.8</v>
      </c>
      <c r="C13" s="165">
        <f>'GS事務組'!E141</f>
        <v>1681.1</v>
      </c>
      <c r="D13" s="165">
        <v>0</v>
      </c>
      <c r="E13" s="248">
        <f>'GS事務組'!G141</f>
        <v>236.9</v>
      </c>
      <c r="F13" s="148"/>
      <c r="G13" s="165"/>
      <c r="H13" s="248">
        <f>'GS事務組'!J141</f>
        <v>502.79999999999995</v>
      </c>
      <c r="I13" s="165"/>
      <c r="J13" s="165"/>
      <c r="K13" s="165"/>
      <c r="L13" s="165"/>
      <c r="M13" s="165"/>
      <c r="N13" s="248">
        <f>'GS事務組'!P141</f>
        <v>315</v>
      </c>
      <c r="O13" s="165"/>
      <c r="P13" s="165"/>
      <c r="Q13" s="165"/>
      <c r="R13" s="165"/>
      <c r="S13" s="165"/>
      <c r="T13" s="165"/>
      <c r="U13" s="165"/>
      <c r="V13" s="165"/>
    </row>
    <row r="14" spans="1:22" ht="18" thickBot="1" thickTop="1">
      <c r="A14" s="267" t="s">
        <v>27</v>
      </c>
      <c r="B14" s="269">
        <f>SUM(B2:B13)</f>
        <v>27889.5</v>
      </c>
      <c r="C14" s="269">
        <f aca="true" t="shared" si="1" ref="C14:V14">SUM(C2:C13)</f>
        <v>17988.7</v>
      </c>
      <c r="D14" s="269">
        <f t="shared" si="1"/>
        <v>0</v>
      </c>
      <c r="E14" s="269">
        <f t="shared" si="1"/>
        <v>1940.9999999999998</v>
      </c>
      <c r="F14" s="269">
        <f t="shared" si="1"/>
        <v>0</v>
      </c>
      <c r="G14" s="269">
        <f t="shared" si="1"/>
        <v>0</v>
      </c>
      <c r="H14" s="269">
        <f t="shared" si="1"/>
        <v>4680.3</v>
      </c>
      <c r="I14" s="269">
        <f t="shared" si="1"/>
        <v>0</v>
      </c>
      <c r="J14" s="269">
        <f t="shared" si="1"/>
        <v>0</v>
      </c>
      <c r="K14" s="269">
        <f t="shared" si="1"/>
        <v>0</v>
      </c>
      <c r="L14" s="269">
        <f t="shared" si="1"/>
        <v>0</v>
      </c>
      <c r="M14" s="269">
        <f t="shared" si="1"/>
        <v>0</v>
      </c>
      <c r="N14" s="269">
        <f t="shared" si="1"/>
        <v>3279.5</v>
      </c>
      <c r="O14" s="269">
        <f t="shared" si="1"/>
        <v>0</v>
      </c>
      <c r="P14" s="269">
        <f t="shared" si="1"/>
        <v>0</v>
      </c>
      <c r="Q14" s="269">
        <f t="shared" si="1"/>
        <v>0</v>
      </c>
      <c r="R14" s="269">
        <f t="shared" si="1"/>
        <v>0</v>
      </c>
      <c r="S14" s="269">
        <f t="shared" si="1"/>
        <v>0</v>
      </c>
      <c r="T14" s="269">
        <f t="shared" si="1"/>
        <v>0</v>
      </c>
      <c r="U14" s="269">
        <f t="shared" si="1"/>
        <v>0</v>
      </c>
      <c r="V14" s="269">
        <f t="shared" si="1"/>
        <v>0</v>
      </c>
    </row>
    <row r="15" spans="1:22" ht="31.5" thickBot="1" thickTop="1">
      <c r="A15" s="271" t="s">
        <v>48</v>
      </c>
      <c r="B15" s="269">
        <f>B14/12</f>
        <v>2324.125</v>
      </c>
      <c r="C15" s="269">
        <f aca="true" t="shared" si="2" ref="C15:V15">C14/12</f>
        <v>1499.0583333333334</v>
      </c>
      <c r="D15" s="269">
        <f t="shared" si="2"/>
        <v>0</v>
      </c>
      <c r="E15" s="269">
        <f t="shared" si="2"/>
        <v>161.74999999999997</v>
      </c>
      <c r="F15" s="269">
        <f t="shared" si="2"/>
        <v>0</v>
      </c>
      <c r="G15" s="269">
        <f t="shared" si="2"/>
        <v>0</v>
      </c>
      <c r="H15" s="269">
        <f t="shared" si="2"/>
        <v>390.02500000000003</v>
      </c>
      <c r="I15" s="269">
        <f t="shared" si="2"/>
        <v>0</v>
      </c>
      <c r="J15" s="269">
        <f t="shared" si="2"/>
        <v>0</v>
      </c>
      <c r="K15" s="269">
        <f t="shared" si="2"/>
        <v>0</v>
      </c>
      <c r="L15" s="269">
        <f t="shared" si="2"/>
        <v>0</v>
      </c>
      <c r="M15" s="269">
        <f t="shared" si="2"/>
        <v>0</v>
      </c>
      <c r="N15" s="269">
        <f t="shared" si="2"/>
        <v>273.2916666666667</v>
      </c>
      <c r="O15" s="269">
        <f t="shared" si="2"/>
        <v>0</v>
      </c>
      <c r="P15" s="269">
        <f t="shared" si="2"/>
        <v>0</v>
      </c>
      <c r="Q15" s="269">
        <f t="shared" si="2"/>
        <v>0</v>
      </c>
      <c r="R15" s="269">
        <f t="shared" si="2"/>
        <v>0</v>
      </c>
      <c r="S15" s="269">
        <f t="shared" si="2"/>
        <v>0</v>
      </c>
      <c r="T15" s="269">
        <f t="shared" si="2"/>
        <v>0</v>
      </c>
      <c r="U15" s="269">
        <f t="shared" si="2"/>
        <v>0</v>
      </c>
      <c r="V15" s="269">
        <f t="shared" si="2"/>
        <v>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X15"/>
  <sheetViews>
    <sheetView zoomScalePageLayoutView="0" workbookViewId="0" topLeftCell="A1">
      <selection activeCell="A4" sqref="A4"/>
    </sheetView>
  </sheetViews>
  <sheetFormatPr defaultColWidth="9.00390625" defaultRowHeight="16.5"/>
  <cols>
    <col min="2" max="2" width="9.375" style="0" bestFit="1" customWidth="1"/>
  </cols>
  <sheetData>
    <row r="1" spans="1:22" ht="60">
      <c r="A1" s="136" t="s">
        <v>156</v>
      </c>
      <c r="B1" s="137" t="s">
        <v>50</v>
      </c>
      <c r="C1" s="137" t="s">
        <v>2</v>
      </c>
      <c r="D1" s="137" t="s">
        <v>3</v>
      </c>
      <c r="E1" s="137" t="s">
        <v>4</v>
      </c>
      <c r="F1" s="137" t="s">
        <v>20</v>
      </c>
      <c r="G1" s="137" t="s">
        <v>36</v>
      </c>
      <c r="H1" s="137" t="s">
        <v>21</v>
      </c>
      <c r="I1" s="137" t="s">
        <v>22</v>
      </c>
      <c r="J1" s="137" t="s">
        <v>9</v>
      </c>
      <c r="K1" s="137" t="s">
        <v>10</v>
      </c>
      <c r="L1" s="137" t="s">
        <v>11</v>
      </c>
      <c r="M1" s="137" t="s">
        <v>12</v>
      </c>
      <c r="N1" s="137" t="s">
        <v>13</v>
      </c>
      <c r="O1" s="137" t="s">
        <v>14</v>
      </c>
      <c r="P1" s="137" t="s">
        <v>15</v>
      </c>
      <c r="Q1" s="137" t="s">
        <v>23</v>
      </c>
      <c r="R1" s="137" t="s">
        <v>60</v>
      </c>
      <c r="S1" s="137" t="s">
        <v>54</v>
      </c>
      <c r="T1" s="137" t="s">
        <v>25</v>
      </c>
      <c r="U1" s="137" t="s">
        <v>26</v>
      </c>
      <c r="V1" s="138" t="s">
        <v>49</v>
      </c>
    </row>
    <row r="2" spans="1:24" ht="16.5">
      <c r="A2" s="109">
        <v>1</v>
      </c>
      <c r="B2" s="165">
        <f>SUM(C2:V2)</f>
        <v>1822.4</v>
      </c>
      <c r="C2" s="165">
        <f>'GS事務組'!E142</f>
        <v>1213.7</v>
      </c>
      <c r="D2" s="165">
        <v>0</v>
      </c>
      <c r="E2" s="248">
        <f>'GS事務組'!G142</f>
        <v>132.6</v>
      </c>
      <c r="F2" s="180">
        <v>0</v>
      </c>
      <c r="G2" s="180">
        <v>0</v>
      </c>
      <c r="H2" s="248">
        <f>'GS事務組'!J142</f>
        <v>278.1</v>
      </c>
      <c r="I2" s="165">
        <v>0</v>
      </c>
      <c r="J2" s="165">
        <v>0</v>
      </c>
      <c r="K2" s="165">
        <v>0</v>
      </c>
      <c r="L2" s="165">
        <v>0</v>
      </c>
      <c r="M2" s="165">
        <v>0</v>
      </c>
      <c r="N2" s="248">
        <f>'GS事務組'!P142</f>
        <v>198</v>
      </c>
      <c r="O2" s="165">
        <v>0</v>
      </c>
      <c r="P2" s="165">
        <v>0</v>
      </c>
      <c r="Q2" s="165">
        <v>0</v>
      </c>
      <c r="R2" s="165">
        <v>0</v>
      </c>
      <c r="S2" s="165">
        <v>0</v>
      </c>
      <c r="T2" s="165">
        <v>0</v>
      </c>
      <c r="U2" s="165">
        <v>0</v>
      </c>
      <c r="V2" s="165">
        <v>0</v>
      </c>
      <c r="W2" s="165"/>
      <c r="X2" s="165"/>
    </row>
    <row r="3" spans="1:24" ht="16.5">
      <c r="A3" s="109">
        <v>2</v>
      </c>
      <c r="B3" s="165">
        <f aca="true" t="shared" si="0" ref="B3:B13">SUM(C3:V3)</f>
        <v>772.3000000000001</v>
      </c>
      <c r="C3" s="165">
        <f>'GS事務組'!E143</f>
        <v>621.5</v>
      </c>
      <c r="D3" s="165">
        <v>0</v>
      </c>
      <c r="E3" s="248">
        <f>'GS事務組'!G143</f>
        <v>31.6</v>
      </c>
      <c r="F3" s="180">
        <v>0</v>
      </c>
      <c r="G3" s="180">
        <v>0</v>
      </c>
      <c r="H3" s="248">
        <f>'GS事務組'!J143</f>
        <v>76.2</v>
      </c>
      <c r="I3" s="165">
        <v>0</v>
      </c>
      <c r="J3" s="165">
        <v>0</v>
      </c>
      <c r="K3" s="165">
        <v>0</v>
      </c>
      <c r="L3" s="165">
        <v>0</v>
      </c>
      <c r="M3" s="165">
        <v>0</v>
      </c>
      <c r="N3" s="248">
        <f>'GS事務組'!P143</f>
        <v>43</v>
      </c>
      <c r="O3" s="165">
        <v>0</v>
      </c>
      <c r="P3" s="165">
        <v>0</v>
      </c>
      <c r="Q3" s="165">
        <v>0</v>
      </c>
      <c r="R3" s="165">
        <v>0</v>
      </c>
      <c r="S3" s="165">
        <v>0</v>
      </c>
      <c r="T3" s="165">
        <v>0</v>
      </c>
      <c r="U3" s="165">
        <v>0</v>
      </c>
      <c r="V3" s="165">
        <v>0</v>
      </c>
      <c r="W3" s="165"/>
      <c r="X3" s="165"/>
    </row>
    <row r="4" spans="1:24" ht="16.5">
      <c r="A4" s="109">
        <v>3</v>
      </c>
      <c r="B4" s="165">
        <f t="shared" si="0"/>
        <v>2861.8</v>
      </c>
      <c r="C4" s="165">
        <f>'GS事務組'!E144</f>
        <v>1874.4</v>
      </c>
      <c r="D4" s="165">
        <v>0</v>
      </c>
      <c r="E4" s="248">
        <f>'GS事務組'!G144</f>
        <v>203</v>
      </c>
      <c r="F4" s="180">
        <v>0</v>
      </c>
      <c r="G4" s="180">
        <v>0</v>
      </c>
      <c r="H4" s="248">
        <f>'GS事務組'!J144</f>
        <v>433.1</v>
      </c>
      <c r="I4" s="165">
        <v>0</v>
      </c>
      <c r="J4" s="165">
        <v>0</v>
      </c>
      <c r="K4" s="165">
        <v>0</v>
      </c>
      <c r="L4" s="165">
        <v>0</v>
      </c>
      <c r="M4" s="165">
        <v>0</v>
      </c>
      <c r="N4" s="248">
        <f>'GS事務組'!P144</f>
        <v>351.3</v>
      </c>
      <c r="O4" s="165">
        <v>0</v>
      </c>
      <c r="P4" s="165">
        <v>0</v>
      </c>
      <c r="Q4" s="165">
        <v>0</v>
      </c>
      <c r="R4" s="165">
        <v>0</v>
      </c>
      <c r="S4" s="165">
        <v>0</v>
      </c>
      <c r="T4" s="165">
        <v>0</v>
      </c>
      <c r="U4" s="165">
        <v>0</v>
      </c>
      <c r="V4" s="165">
        <v>0</v>
      </c>
      <c r="W4" s="165"/>
      <c r="X4" s="165"/>
    </row>
    <row r="5" spans="1:24" ht="16.5">
      <c r="A5" s="109">
        <v>4</v>
      </c>
      <c r="B5" s="165">
        <f t="shared" si="0"/>
        <v>2640.3999999999996</v>
      </c>
      <c r="C5" s="165">
        <f>'GS事務組'!E145</f>
        <v>1576.6</v>
      </c>
      <c r="D5" s="165">
        <v>0</v>
      </c>
      <c r="E5" s="248">
        <f>'GS事務組'!G145</f>
        <v>203.79999999999998</v>
      </c>
      <c r="F5" s="180">
        <v>0</v>
      </c>
      <c r="G5" s="180">
        <v>0</v>
      </c>
      <c r="H5" s="248">
        <f>'GS事務組'!J145</f>
        <v>473</v>
      </c>
      <c r="I5" s="165">
        <v>0</v>
      </c>
      <c r="J5" s="165">
        <v>0</v>
      </c>
      <c r="K5" s="165">
        <v>0</v>
      </c>
      <c r="L5" s="165">
        <v>0</v>
      </c>
      <c r="M5" s="165">
        <v>0</v>
      </c>
      <c r="N5" s="248">
        <f>'GS事務組'!P145</f>
        <v>387</v>
      </c>
      <c r="O5" s="165">
        <v>0</v>
      </c>
      <c r="P5" s="165">
        <v>0</v>
      </c>
      <c r="Q5" s="165">
        <v>0</v>
      </c>
      <c r="R5" s="165">
        <v>0</v>
      </c>
      <c r="S5" s="165">
        <v>0</v>
      </c>
      <c r="T5" s="165">
        <v>0</v>
      </c>
      <c r="U5" s="165">
        <v>0</v>
      </c>
      <c r="V5" s="165">
        <v>0</v>
      </c>
      <c r="W5" s="165"/>
      <c r="X5" s="165"/>
    </row>
    <row r="6" spans="1:24" ht="16.5">
      <c r="A6" s="109">
        <v>5</v>
      </c>
      <c r="B6" s="165">
        <f t="shared" si="0"/>
        <v>2311</v>
      </c>
      <c r="C6" s="165">
        <f>'GS事務組'!E146</f>
        <v>1444.1</v>
      </c>
      <c r="D6" s="165">
        <v>0</v>
      </c>
      <c r="E6" s="248">
        <f>'GS事務組'!G146</f>
        <v>166.2</v>
      </c>
      <c r="F6" s="180">
        <v>0</v>
      </c>
      <c r="G6" s="180">
        <v>0</v>
      </c>
      <c r="H6" s="248">
        <f>'GS事務組'!J146</f>
        <v>430.70000000000016</v>
      </c>
      <c r="I6" s="165">
        <v>0</v>
      </c>
      <c r="J6" s="165">
        <v>0</v>
      </c>
      <c r="K6" s="165">
        <v>0</v>
      </c>
      <c r="L6" s="165">
        <v>0</v>
      </c>
      <c r="M6" s="165">
        <v>0</v>
      </c>
      <c r="N6" s="248">
        <f>'GS事務組'!P146</f>
        <v>270</v>
      </c>
      <c r="O6" s="165">
        <v>0</v>
      </c>
      <c r="P6" s="165">
        <v>0</v>
      </c>
      <c r="Q6" s="165">
        <v>0</v>
      </c>
      <c r="R6" s="165">
        <v>0</v>
      </c>
      <c r="S6" s="165">
        <v>0</v>
      </c>
      <c r="T6" s="165">
        <v>0</v>
      </c>
      <c r="U6" s="165">
        <v>0</v>
      </c>
      <c r="V6" s="165">
        <v>0</v>
      </c>
      <c r="W6" s="165"/>
      <c r="X6" s="165"/>
    </row>
    <row r="7" spans="1:24" ht="16.5">
      <c r="A7" s="109">
        <v>6</v>
      </c>
      <c r="B7" s="165">
        <f t="shared" si="0"/>
        <v>2978.2</v>
      </c>
      <c r="C7" s="165">
        <f>'GS事務組'!E147</f>
        <v>1717</v>
      </c>
      <c r="D7" s="165">
        <v>0</v>
      </c>
      <c r="E7" s="248">
        <f>'GS事務組'!G147</f>
        <v>230.2</v>
      </c>
      <c r="F7" s="180">
        <v>0</v>
      </c>
      <c r="G7" s="180">
        <v>0</v>
      </c>
      <c r="H7" s="248">
        <f>'GS事務組'!J147</f>
        <v>637</v>
      </c>
      <c r="I7" s="165">
        <v>0</v>
      </c>
      <c r="J7" s="165">
        <v>0</v>
      </c>
      <c r="K7" s="165">
        <v>0</v>
      </c>
      <c r="L7" s="165">
        <v>0</v>
      </c>
      <c r="M7" s="165">
        <v>0</v>
      </c>
      <c r="N7" s="248">
        <f>'GS事務組'!P147</f>
        <v>394</v>
      </c>
      <c r="O7" s="165">
        <v>0</v>
      </c>
      <c r="P7" s="165">
        <v>0</v>
      </c>
      <c r="Q7" s="165">
        <v>0</v>
      </c>
      <c r="R7" s="165">
        <v>0</v>
      </c>
      <c r="S7" s="165">
        <v>0</v>
      </c>
      <c r="T7" s="165">
        <v>0</v>
      </c>
      <c r="U7" s="165">
        <v>0</v>
      </c>
      <c r="V7" s="165">
        <v>0</v>
      </c>
      <c r="W7" s="165"/>
      <c r="X7" s="165"/>
    </row>
    <row r="8" spans="1:24" ht="16.5">
      <c r="A8" s="109">
        <v>7</v>
      </c>
      <c r="B8" s="165">
        <f t="shared" si="0"/>
        <v>1807.2</v>
      </c>
      <c r="C8" s="165">
        <f>'GS事務組'!E148</f>
        <v>1244.9</v>
      </c>
      <c r="D8" s="165">
        <v>0</v>
      </c>
      <c r="E8" s="248">
        <f>'GS事務組'!G148</f>
        <v>110.7</v>
      </c>
      <c r="F8" s="180">
        <v>0</v>
      </c>
      <c r="G8" s="180">
        <v>0</v>
      </c>
      <c r="H8" s="248">
        <f>'GS事務組'!J148</f>
        <v>222.6</v>
      </c>
      <c r="I8" s="165">
        <v>0</v>
      </c>
      <c r="J8" s="165">
        <v>0</v>
      </c>
      <c r="K8" s="165">
        <v>0</v>
      </c>
      <c r="L8" s="165">
        <v>0</v>
      </c>
      <c r="M8" s="165">
        <v>0</v>
      </c>
      <c r="N8" s="248">
        <f>'GS事務組'!P148</f>
        <v>229</v>
      </c>
      <c r="O8" s="165">
        <v>0</v>
      </c>
      <c r="P8" s="165">
        <v>0</v>
      </c>
      <c r="Q8" s="165">
        <v>0</v>
      </c>
      <c r="R8" s="165">
        <v>0</v>
      </c>
      <c r="S8" s="165">
        <v>0</v>
      </c>
      <c r="T8" s="165">
        <v>0</v>
      </c>
      <c r="U8" s="165">
        <v>0</v>
      </c>
      <c r="V8" s="165">
        <v>0</v>
      </c>
      <c r="W8" s="165"/>
      <c r="X8" s="165"/>
    </row>
    <row r="9" spans="1:24" ht="16.5">
      <c r="A9" s="109">
        <v>8</v>
      </c>
      <c r="B9" s="165">
        <f t="shared" si="0"/>
        <v>1011.4000000000001</v>
      </c>
      <c r="C9" s="165">
        <f>'GS事務組'!E149</f>
        <v>791.4000000000001</v>
      </c>
      <c r="D9" s="165">
        <v>0</v>
      </c>
      <c r="E9" s="248">
        <f>'GS事務組'!G149</f>
        <v>51.8</v>
      </c>
      <c r="F9" s="180">
        <v>0</v>
      </c>
      <c r="G9" s="180">
        <v>0</v>
      </c>
      <c r="H9" s="248">
        <f>'GS事務組'!J149</f>
        <v>133.20000000000002</v>
      </c>
      <c r="I9" s="165">
        <v>0</v>
      </c>
      <c r="J9" s="165">
        <v>0</v>
      </c>
      <c r="K9" s="165">
        <v>0</v>
      </c>
      <c r="L9" s="165">
        <v>0</v>
      </c>
      <c r="M9" s="165">
        <v>0</v>
      </c>
      <c r="N9" s="248">
        <f>'GS事務組'!P149</f>
        <v>35</v>
      </c>
      <c r="O9" s="165">
        <v>0</v>
      </c>
      <c r="P9" s="165">
        <v>0</v>
      </c>
      <c r="Q9" s="165">
        <v>0</v>
      </c>
      <c r="R9" s="165">
        <v>0</v>
      </c>
      <c r="S9" s="165">
        <v>0</v>
      </c>
      <c r="T9" s="165">
        <v>0</v>
      </c>
      <c r="U9" s="165">
        <v>0</v>
      </c>
      <c r="V9" s="165">
        <v>0</v>
      </c>
      <c r="W9" s="165"/>
      <c r="X9" s="165"/>
    </row>
    <row r="10" spans="1:24" ht="16.5">
      <c r="A10" s="109">
        <v>9</v>
      </c>
      <c r="B10" s="165">
        <f t="shared" si="0"/>
        <v>2386.2</v>
      </c>
      <c r="C10" s="165">
        <f>'GS事務組'!E150</f>
        <v>1532.5</v>
      </c>
      <c r="D10" s="165">
        <v>0</v>
      </c>
      <c r="E10" s="248">
        <f>'GS事務組'!G150</f>
        <v>171.7</v>
      </c>
      <c r="F10" s="180">
        <v>0</v>
      </c>
      <c r="G10" s="180">
        <v>0</v>
      </c>
      <c r="H10" s="248">
        <f>'GS事務組'!J150</f>
        <v>431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248">
        <f>'GS事務組'!P150</f>
        <v>251</v>
      </c>
      <c r="O10" s="165">
        <v>0</v>
      </c>
      <c r="P10" s="165">
        <v>0</v>
      </c>
      <c r="Q10" s="165">
        <v>0</v>
      </c>
      <c r="R10" s="165">
        <v>0</v>
      </c>
      <c r="S10" s="165">
        <v>0</v>
      </c>
      <c r="T10" s="165">
        <v>0</v>
      </c>
      <c r="U10" s="165">
        <v>0</v>
      </c>
      <c r="V10" s="165">
        <v>0</v>
      </c>
      <c r="W10" s="165"/>
      <c r="X10" s="165"/>
    </row>
    <row r="11" spans="1:24" ht="16.5">
      <c r="A11" s="109">
        <v>10</v>
      </c>
      <c r="B11" s="165">
        <f t="shared" si="0"/>
        <v>2977.5</v>
      </c>
      <c r="C11" s="165">
        <f>'GS事務組'!E151</f>
        <v>1980.3000000000002</v>
      </c>
      <c r="D11" s="165">
        <v>0</v>
      </c>
      <c r="E11" s="248">
        <f>'GS事務組'!G151</f>
        <v>209.2</v>
      </c>
      <c r="F11" s="180">
        <v>0</v>
      </c>
      <c r="G11" s="180">
        <v>0</v>
      </c>
      <c r="H11" s="248">
        <f>'GS事務組'!J151</f>
        <v>539</v>
      </c>
      <c r="I11" s="165">
        <v>0</v>
      </c>
      <c r="J11" s="165">
        <v>0</v>
      </c>
      <c r="K11" s="165">
        <v>0</v>
      </c>
      <c r="L11" s="165">
        <v>0</v>
      </c>
      <c r="M11" s="165">
        <v>0</v>
      </c>
      <c r="N11" s="248">
        <f>'GS事務組'!P151</f>
        <v>249</v>
      </c>
      <c r="O11" s="165">
        <v>0</v>
      </c>
      <c r="P11" s="165">
        <v>0</v>
      </c>
      <c r="Q11" s="165">
        <v>0</v>
      </c>
      <c r="R11" s="165">
        <v>0</v>
      </c>
      <c r="S11" s="165">
        <v>0</v>
      </c>
      <c r="T11" s="165">
        <v>0</v>
      </c>
      <c r="U11" s="165">
        <v>0</v>
      </c>
      <c r="V11" s="165">
        <v>0</v>
      </c>
      <c r="W11" s="165"/>
      <c r="X11" s="165"/>
    </row>
    <row r="12" spans="1:24" ht="16.5">
      <c r="A12" s="109">
        <v>11</v>
      </c>
      <c r="B12" s="165">
        <f t="shared" si="0"/>
        <v>2697.8999999999996</v>
      </c>
      <c r="C12" s="165">
        <f>'GS事務組'!E152</f>
        <v>1732.1</v>
      </c>
      <c r="D12" s="165">
        <v>0</v>
      </c>
      <c r="E12" s="248">
        <f>'GS事務組'!G152</f>
        <v>225.79999999999998</v>
      </c>
      <c r="F12" s="180">
        <v>0</v>
      </c>
      <c r="G12" s="180">
        <v>0</v>
      </c>
      <c r="H12" s="248">
        <f>'GS事務組'!J152</f>
        <v>521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248">
        <f>'GS事務組'!P152</f>
        <v>219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0</v>
      </c>
      <c r="U12" s="165">
        <v>0</v>
      </c>
      <c r="V12" s="165">
        <v>0</v>
      </c>
      <c r="W12" s="165"/>
      <c r="X12" s="165"/>
    </row>
    <row r="13" spans="1:24" ht="17.25" thickBot="1">
      <c r="A13" s="113">
        <v>12</v>
      </c>
      <c r="B13" s="165">
        <f t="shared" si="0"/>
        <v>2862.4999999999995</v>
      </c>
      <c r="C13" s="165">
        <f>'GS事務組'!E153</f>
        <v>1763.5</v>
      </c>
      <c r="D13" s="165">
        <v>0</v>
      </c>
      <c r="E13" s="248">
        <f>'GS事務組'!G153</f>
        <v>252.1</v>
      </c>
      <c r="F13" s="180">
        <v>0</v>
      </c>
      <c r="G13" s="180">
        <v>0</v>
      </c>
      <c r="H13" s="248">
        <f>'GS事務組'!J153</f>
        <v>560.8</v>
      </c>
      <c r="I13" s="165">
        <v>0</v>
      </c>
      <c r="J13" s="165">
        <v>0</v>
      </c>
      <c r="K13" s="165">
        <v>0</v>
      </c>
      <c r="L13" s="165">
        <v>0</v>
      </c>
      <c r="M13" s="165">
        <v>0</v>
      </c>
      <c r="N13" s="248">
        <f>'GS事務組'!P153</f>
        <v>286.1</v>
      </c>
      <c r="O13" s="165">
        <v>0</v>
      </c>
      <c r="P13" s="165">
        <v>0</v>
      </c>
      <c r="Q13" s="165">
        <v>0</v>
      </c>
      <c r="R13" s="165">
        <v>0</v>
      </c>
      <c r="S13" s="165">
        <v>0</v>
      </c>
      <c r="T13" s="165">
        <v>0</v>
      </c>
      <c r="U13" s="165">
        <v>0</v>
      </c>
      <c r="V13" s="165">
        <v>0</v>
      </c>
      <c r="W13" s="165"/>
      <c r="X13" s="165"/>
    </row>
    <row r="14" spans="1:22" ht="18" thickBot="1" thickTop="1">
      <c r="A14" s="267" t="s">
        <v>27</v>
      </c>
      <c r="B14" s="269">
        <f>SUM(B2:B13)</f>
        <v>27128.799999999996</v>
      </c>
      <c r="C14" s="269">
        <f aca="true" t="shared" si="1" ref="C14:V14">SUM(C2:C13)</f>
        <v>17492</v>
      </c>
      <c r="D14" s="269">
        <f t="shared" si="1"/>
        <v>0</v>
      </c>
      <c r="E14" s="269">
        <f t="shared" si="1"/>
        <v>1988.7</v>
      </c>
      <c r="F14" s="269">
        <f t="shared" si="1"/>
        <v>0</v>
      </c>
      <c r="G14" s="269">
        <f t="shared" si="1"/>
        <v>0</v>
      </c>
      <c r="H14" s="269">
        <f t="shared" si="1"/>
        <v>4735.7</v>
      </c>
      <c r="I14" s="269">
        <f t="shared" si="1"/>
        <v>0</v>
      </c>
      <c r="J14" s="269">
        <f t="shared" si="1"/>
        <v>0</v>
      </c>
      <c r="K14" s="269">
        <f t="shared" si="1"/>
        <v>0</v>
      </c>
      <c r="L14" s="269">
        <f t="shared" si="1"/>
        <v>0</v>
      </c>
      <c r="M14" s="269">
        <f t="shared" si="1"/>
        <v>0</v>
      </c>
      <c r="N14" s="269">
        <f t="shared" si="1"/>
        <v>2912.4</v>
      </c>
      <c r="O14" s="269">
        <f t="shared" si="1"/>
        <v>0</v>
      </c>
      <c r="P14" s="269">
        <f t="shared" si="1"/>
        <v>0</v>
      </c>
      <c r="Q14" s="269">
        <f t="shared" si="1"/>
        <v>0</v>
      </c>
      <c r="R14" s="269">
        <f t="shared" si="1"/>
        <v>0</v>
      </c>
      <c r="S14" s="269">
        <f t="shared" si="1"/>
        <v>0</v>
      </c>
      <c r="T14" s="269">
        <f t="shared" si="1"/>
        <v>0</v>
      </c>
      <c r="U14" s="269">
        <f t="shared" si="1"/>
        <v>0</v>
      </c>
      <c r="V14" s="269">
        <f t="shared" si="1"/>
        <v>0</v>
      </c>
    </row>
    <row r="15" spans="1:22" ht="31.5" thickBot="1" thickTop="1">
      <c r="A15" s="271" t="s">
        <v>48</v>
      </c>
      <c r="B15" s="269">
        <f>B14/12</f>
        <v>2260.733333333333</v>
      </c>
      <c r="C15" s="269">
        <f aca="true" t="shared" si="2" ref="C15:V15">C14/12</f>
        <v>1457.6666666666667</v>
      </c>
      <c r="D15" s="269">
        <f t="shared" si="2"/>
        <v>0</v>
      </c>
      <c r="E15" s="269">
        <f t="shared" si="2"/>
        <v>165.725</v>
      </c>
      <c r="F15" s="269">
        <f t="shared" si="2"/>
        <v>0</v>
      </c>
      <c r="G15" s="269">
        <f t="shared" si="2"/>
        <v>0</v>
      </c>
      <c r="H15" s="269">
        <f t="shared" si="2"/>
        <v>394.64166666666665</v>
      </c>
      <c r="I15" s="269">
        <f t="shared" si="2"/>
        <v>0</v>
      </c>
      <c r="J15" s="269">
        <f t="shared" si="2"/>
        <v>0</v>
      </c>
      <c r="K15" s="269">
        <f t="shared" si="2"/>
        <v>0</v>
      </c>
      <c r="L15" s="269">
        <f t="shared" si="2"/>
        <v>0</v>
      </c>
      <c r="M15" s="269">
        <f t="shared" si="2"/>
        <v>0</v>
      </c>
      <c r="N15" s="269">
        <f t="shared" si="2"/>
        <v>242.70000000000002</v>
      </c>
      <c r="O15" s="269">
        <f t="shared" si="2"/>
        <v>0</v>
      </c>
      <c r="P15" s="269">
        <f t="shared" si="2"/>
        <v>0</v>
      </c>
      <c r="Q15" s="269">
        <f t="shared" si="2"/>
        <v>0</v>
      </c>
      <c r="R15" s="269">
        <f t="shared" si="2"/>
        <v>0</v>
      </c>
      <c r="S15" s="269">
        <f t="shared" si="2"/>
        <v>0</v>
      </c>
      <c r="T15" s="269">
        <f t="shared" si="2"/>
        <v>0</v>
      </c>
      <c r="U15" s="269">
        <f t="shared" si="2"/>
        <v>0</v>
      </c>
      <c r="V15" s="269">
        <f t="shared" si="2"/>
        <v>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3"/>
  </sheetPr>
  <dimension ref="A1:V15"/>
  <sheetViews>
    <sheetView tabSelected="1" zoomScalePageLayoutView="0" workbookViewId="0" topLeftCell="A1">
      <selection activeCell="I21" sqref="I21"/>
    </sheetView>
  </sheetViews>
  <sheetFormatPr defaultColWidth="9.00390625" defaultRowHeight="16.5"/>
  <cols>
    <col min="2" max="2" width="9.375" style="0" bestFit="1" customWidth="1"/>
  </cols>
  <sheetData>
    <row r="1" spans="1:22" ht="60">
      <c r="A1" s="136" t="s">
        <v>157</v>
      </c>
      <c r="B1" s="137" t="s">
        <v>50</v>
      </c>
      <c r="C1" s="137" t="s">
        <v>2</v>
      </c>
      <c r="D1" s="137" t="s">
        <v>3</v>
      </c>
      <c r="E1" s="137" t="s">
        <v>4</v>
      </c>
      <c r="F1" s="137" t="s">
        <v>20</v>
      </c>
      <c r="G1" s="137" t="s">
        <v>36</v>
      </c>
      <c r="H1" s="137" t="s">
        <v>21</v>
      </c>
      <c r="I1" s="137" t="s">
        <v>22</v>
      </c>
      <c r="J1" s="137" t="s">
        <v>9</v>
      </c>
      <c r="K1" s="137" t="s">
        <v>10</v>
      </c>
      <c r="L1" s="137" t="s">
        <v>11</v>
      </c>
      <c r="M1" s="137" t="s">
        <v>12</v>
      </c>
      <c r="N1" s="137" t="s">
        <v>13</v>
      </c>
      <c r="O1" s="137" t="s">
        <v>14</v>
      </c>
      <c r="P1" s="137" t="s">
        <v>15</v>
      </c>
      <c r="Q1" s="137" t="s">
        <v>23</v>
      </c>
      <c r="R1" s="137" t="s">
        <v>60</v>
      </c>
      <c r="S1" s="137" t="s">
        <v>54</v>
      </c>
      <c r="T1" s="137" t="s">
        <v>25</v>
      </c>
      <c r="U1" s="137" t="s">
        <v>26</v>
      </c>
      <c r="V1" s="138" t="s">
        <v>49</v>
      </c>
    </row>
    <row r="2" spans="1:22" ht="16.5">
      <c r="A2" s="109">
        <v>1</v>
      </c>
      <c r="B2" s="165">
        <f>SUM(C2:V2)</f>
        <v>2068.3</v>
      </c>
      <c r="C2" s="165">
        <f>'GS事務組'!E154</f>
        <v>1394</v>
      </c>
      <c r="D2" s="165">
        <v>0</v>
      </c>
      <c r="E2" s="248">
        <f>'GS事務組'!G154</f>
        <v>192.6</v>
      </c>
      <c r="F2" s="180">
        <v>0</v>
      </c>
      <c r="G2" s="180">
        <v>0</v>
      </c>
      <c r="H2" s="248">
        <f>'GS事務組'!J154</f>
        <v>333.7</v>
      </c>
      <c r="I2" s="165">
        <v>0</v>
      </c>
      <c r="J2" s="165">
        <v>0</v>
      </c>
      <c r="K2" s="165">
        <v>0</v>
      </c>
      <c r="L2" s="165">
        <v>0</v>
      </c>
      <c r="M2" s="165">
        <v>0</v>
      </c>
      <c r="N2" s="248">
        <f>'GS事務組'!P154</f>
        <v>148</v>
      </c>
      <c r="O2" s="165">
        <v>0</v>
      </c>
      <c r="P2" s="165">
        <v>0</v>
      </c>
      <c r="Q2" s="165">
        <v>0</v>
      </c>
      <c r="R2" s="165">
        <v>0</v>
      </c>
      <c r="S2" s="165">
        <v>0</v>
      </c>
      <c r="T2" s="165">
        <v>0</v>
      </c>
      <c r="U2" s="165">
        <v>0</v>
      </c>
      <c r="V2" s="165">
        <v>0</v>
      </c>
    </row>
    <row r="3" spans="1:22" ht="16.5">
      <c r="A3" s="109">
        <v>2</v>
      </c>
      <c r="B3" s="165">
        <f aca="true" t="shared" si="0" ref="B3:B13">SUM(C3:V3)</f>
        <v>1224</v>
      </c>
      <c r="C3" s="165">
        <f>'GS事務組'!E155</f>
        <v>807</v>
      </c>
      <c r="D3" s="165">
        <v>0</v>
      </c>
      <c r="E3" s="248">
        <f>'GS事務組'!G155</f>
        <v>99.7</v>
      </c>
      <c r="F3" s="180">
        <v>0</v>
      </c>
      <c r="G3" s="180">
        <v>0</v>
      </c>
      <c r="H3" s="248">
        <f>'GS事務組'!J155</f>
        <v>198.2</v>
      </c>
      <c r="I3" s="165">
        <v>0</v>
      </c>
      <c r="J3" s="165">
        <v>0</v>
      </c>
      <c r="K3" s="165">
        <v>0</v>
      </c>
      <c r="L3" s="165">
        <v>0</v>
      </c>
      <c r="M3" s="165">
        <v>0</v>
      </c>
      <c r="N3" s="248">
        <f>'GS事務組'!P155</f>
        <v>119.1</v>
      </c>
      <c r="O3" s="165">
        <v>0</v>
      </c>
      <c r="P3" s="165">
        <v>0</v>
      </c>
      <c r="Q3" s="165">
        <v>0</v>
      </c>
      <c r="R3" s="165">
        <v>0</v>
      </c>
      <c r="S3" s="165">
        <v>0</v>
      </c>
      <c r="T3" s="165">
        <v>0</v>
      </c>
      <c r="U3" s="165">
        <v>0</v>
      </c>
      <c r="V3" s="165">
        <v>0</v>
      </c>
    </row>
    <row r="4" spans="1:22" ht="16.5">
      <c r="A4" s="109">
        <v>3</v>
      </c>
      <c r="B4" s="165">
        <f t="shared" si="0"/>
        <v>2837.9</v>
      </c>
      <c r="C4" s="165">
        <f>'GS事務組'!E156</f>
        <v>1592</v>
      </c>
      <c r="D4" s="165">
        <v>0</v>
      </c>
      <c r="E4" s="248">
        <f>'GS事務組'!G156</f>
        <v>208.7</v>
      </c>
      <c r="F4" s="180">
        <v>0</v>
      </c>
      <c r="G4" s="180">
        <v>0</v>
      </c>
      <c r="H4" s="248">
        <f>'GS事務組'!J156</f>
        <v>487.09999999999997</v>
      </c>
      <c r="I4" s="165">
        <v>0</v>
      </c>
      <c r="J4" s="165">
        <v>0</v>
      </c>
      <c r="K4" s="165">
        <v>0</v>
      </c>
      <c r="L4" s="165">
        <v>0</v>
      </c>
      <c r="M4" s="165">
        <v>0</v>
      </c>
      <c r="N4" s="248">
        <f>'GS事務組'!P156</f>
        <v>550.1</v>
      </c>
      <c r="O4" s="165">
        <v>0</v>
      </c>
      <c r="P4" s="165">
        <v>0</v>
      </c>
      <c r="Q4" s="165">
        <v>0</v>
      </c>
      <c r="R4" s="165">
        <v>0</v>
      </c>
      <c r="S4" s="165">
        <v>0</v>
      </c>
      <c r="T4" s="165">
        <v>0</v>
      </c>
      <c r="U4" s="165">
        <v>0</v>
      </c>
      <c r="V4" s="165">
        <v>0</v>
      </c>
    </row>
    <row r="5" spans="1:22" ht="16.5">
      <c r="A5" s="109">
        <v>4</v>
      </c>
      <c r="B5" s="165">
        <f t="shared" si="0"/>
        <v>2632.3</v>
      </c>
      <c r="C5" s="165">
        <f>'GS事務組'!E157</f>
        <v>1578.2</v>
      </c>
      <c r="D5" s="165">
        <v>0</v>
      </c>
      <c r="E5" s="248">
        <f>'GS事務組'!G157</f>
        <v>234.3</v>
      </c>
      <c r="F5" s="180">
        <v>0</v>
      </c>
      <c r="G5" s="180">
        <v>0</v>
      </c>
      <c r="H5" s="248">
        <f>'GS事務組'!J157</f>
        <v>530.8</v>
      </c>
      <c r="I5" s="165">
        <v>0</v>
      </c>
      <c r="J5" s="165">
        <v>0</v>
      </c>
      <c r="K5" s="165">
        <v>0</v>
      </c>
      <c r="L5" s="165">
        <v>0</v>
      </c>
      <c r="M5" s="165">
        <v>0</v>
      </c>
      <c r="N5" s="248">
        <f>'GS事務組'!P157</f>
        <v>289</v>
      </c>
      <c r="O5" s="165">
        <v>0</v>
      </c>
      <c r="P5" s="165">
        <v>0</v>
      </c>
      <c r="Q5" s="165">
        <v>0</v>
      </c>
      <c r="R5" s="165">
        <v>0</v>
      </c>
      <c r="S5" s="165">
        <v>0</v>
      </c>
      <c r="T5" s="165">
        <v>0</v>
      </c>
      <c r="U5" s="165">
        <v>0</v>
      </c>
      <c r="V5" s="165">
        <v>0</v>
      </c>
    </row>
    <row r="6" spans="1:22" ht="16.5">
      <c r="A6" s="109">
        <v>5</v>
      </c>
      <c r="B6" s="165">
        <f t="shared" si="0"/>
        <v>1548.6</v>
      </c>
      <c r="C6" s="165">
        <f>'GS事務組'!E158</f>
        <v>1028.4</v>
      </c>
      <c r="D6" s="165">
        <v>0</v>
      </c>
      <c r="E6" s="248">
        <f>'GS事務組'!G158</f>
        <v>120.80000000000001</v>
      </c>
      <c r="F6" s="180">
        <v>0</v>
      </c>
      <c r="G6" s="180">
        <v>0</v>
      </c>
      <c r="H6" s="248">
        <f>'GS事務組'!J158</f>
        <v>268.4</v>
      </c>
      <c r="I6" s="165">
        <v>0</v>
      </c>
      <c r="J6" s="165">
        <v>0</v>
      </c>
      <c r="K6" s="165">
        <v>0</v>
      </c>
      <c r="L6" s="165">
        <v>0</v>
      </c>
      <c r="M6" s="165">
        <v>0</v>
      </c>
      <c r="N6" s="248">
        <f>'GS事務組'!P158</f>
        <v>131</v>
      </c>
      <c r="O6" s="165">
        <v>0</v>
      </c>
      <c r="P6" s="165">
        <v>0</v>
      </c>
      <c r="Q6" s="165">
        <v>0</v>
      </c>
      <c r="R6" s="165">
        <v>0</v>
      </c>
      <c r="S6" s="165">
        <v>0</v>
      </c>
      <c r="T6" s="165">
        <v>0</v>
      </c>
      <c r="U6" s="165">
        <v>0</v>
      </c>
      <c r="V6" s="165">
        <v>0</v>
      </c>
    </row>
    <row r="7" spans="1:22" ht="16.5">
      <c r="A7" s="109">
        <v>6</v>
      </c>
      <c r="B7" s="165">
        <f t="shared" si="0"/>
        <v>519.8</v>
      </c>
      <c r="C7" s="165">
        <f>'GS事務組'!E159</f>
        <v>374.29999999999995</v>
      </c>
      <c r="D7" s="165">
        <v>0</v>
      </c>
      <c r="E7" s="248">
        <f>'GS事務組'!G159</f>
        <v>35.2</v>
      </c>
      <c r="F7" s="180">
        <v>0</v>
      </c>
      <c r="G7" s="180">
        <v>0</v>
      </c>
      <c r="H7" s="248">
        <f>'GS事務組'!J159</f>
        <v>75.3</v>
      </c>
      <c r="I7" s="165">
        <v>0</v>
      </c>
      <c r="J7" s="165">
        <v>0</v>
      </c>
      <c r="K7" s="165">
        <v>0</v>
      </c>
      <c r="L7" s="165">
        <v>0</v>
      </c>
      <c r="M7" s="165">
        <v>0</v>
      </c>
      <c r="N7" s="248">
        <f>'GS事務組'!P159</f>
        <v>35</v>
      </c>
      <c r="O7" s="165">
        <v>0</v>
      </c>
      <c r="P7" s="165">
        <v>0</v>
      </c>
      <c r="Q7" s="165">
        <v>0</v>
      </c>
      <c r="R7" s="165">
        <v>0</v>
      </c>
      <c r="S7" s="165">
        <v>0</v>
      </c>
      <c r="T7" s="165">
        <v>0</v>
      </c>
      <c r="U7" s="165">
        <v>0</v>
      </c>
      <c r="V7" s="165">
        <v>0</v>
      </c>
    </row>
    <row r="8" spans="1:22" ht="16.5">
      <c r="A8" s="109">
        <v>7</v>
      </c>
      <c r="B8" s="165">
        <f t="shared" si="0"/>
        <v>684.1</v>
      </c>
      <c r="C8" s="165">
        <f>'GS事務組'!E160</f>
        <v>531</v>
      </c>
      <c r="D8" s="165">
        <v>0</v>
      </c>
      <c r="E8" s="248">
        <f>'GS事務組'!G160</f>
        <v>33.6</v>
      </c>
      <c r="F8" s="180">
        <v>0</v>
      </c>
      <c r="G8" s="180">
        <v>0</v>
      </c>
      <c r="H8" s="248">
        <f>'GS事務組'!J160</f>
        <v>78.4</v>
      </c>
      <c r="I8" s="165">
        <v>0</v>
      </c>
      <c r="J8" s="165">
        <v>0</v>
      </c>
      <c r="K8" s="165">
        <v>0</v>
      </c>
      <c r="L8" s="165">
        <v>0</v>
      </c>
      <c r="M8" s="165">
        <v>0</v>
      </c>
      <c r="N8" s="248">
        <f>'GS事務組'!P160</f>
        <v>41.1</v>
      </c>
      <c r="O8" s="165">
        <v>0</v>
      </c>
      <c r="P8" s="165">
        <v>0</v>
      </c>
      <c r="Q8" s="165">
        <v>0</v>
      </c>
      <c r="R8" s="165">
        <v>0</v>
      </c>
      <c r="S8" s="165">
        <v>0</v>
      </c>
      <c r="T8" s="165">
        <v>0</v>
      </c>
      <c r="U8" s="165">
        <v>0</v>
      </c>
      <c r="V8" s="165">
        <v>0</v>
      </c>
    </row>
    <row r="9" spans="1:22" ht="16.5">
      <c r="A9" s="109">
        <v>8</v>
      </c>
      <c r="B9" s="165">
        <f t="shared" si="0"/>
        <v>870.5999999999999</v>
      </c>
      <c r="C9" s="165">
        <f>'GS事務組'!E161</f>
        <v>658.4</v>
      </c>
      <c r="D9" s="165">
        <v>0</v>
      </c>
      <c r="E9" s="248">
        <f>'GS事務組'!G161</f>
        <v>51</v>
      </c>
      <c r="F9" s="180">
        <v>0</v>
      </c>
      <c r="G9" s="180">
        <v>0</v>
      </c>
      <c r="H9" s="248">
        <f>'GS事務組'!J161</f>
        <v>113.19999999999999</v>
      </c>
      <c r="I9" s="165">
        <v>0</v>
      </c>
      <c r="J9" s="165">
        <v>0</v>
      </c>
      <c r="K9" s="165">
        <v>0</v>
      </c>
      <c r="L9" s="165">
        <v>0</v>
      </c>
      <c r="M9" s="165">
        <v>0</v>
      </c>
      <c r="N9" s="248">
        <f>'GS事務組'!P161</f>
        <v>48</v>
      </c>
      <c r="O9" s="165">
        <v>0</v>
      </c>
      <c r="P9" s="165">
        <v>0</v>
      </c>
      <c r="Q9" s="165">
        <v>0</v>
      </c>
      <c r="R9" s="165">
        <v>0</v>
      </c>
      <c r="S9" s="165">
        <v>0</v>
      </c>
      <c r="T9" s="165">
        <v>0</v>
      </c>
      <c r="U9" s="165">
        <v>0</v>
      </c>
      <c r="V9" s="165">
        <v>0</v>
      </c>
    </row>
    <row r="10" spans="1:22" ht="16.5">
      <c r="A10" s="109">
        <v>9</v>
      </c>
      <c r="B10" s="165">
        <f t="shared" si="0"/>
        <v>952.1000000000001</v>
      </c>
      <c r="C10" s="165">
        <f>'GS事務組'!E162</f>
        <v>667.1</v>
      </c>
      <c r="D10" s="165">
        <v>0</v>
      </c>
      <c r="E10" s="248">
        <f>'GS事務組'!G162</f>
        <v>84.7</v>
      </c>
      <c r="F10" s="180">
        <v>0</v>
      </c>
      <c r="G10" s="180">
        <v>0</v>
      </c>
      <c r="H10" s="248">
        <f>'GS事務組'!J162</f>
        <v>133.3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248">
        <f>'GS事務組'!P162</f>
        <v>67</v>
      </c>
      <c r="O10" s="165">
        <v>0</v>
      </c>
      <c r="P10" s="165">
        <v>0</v>
      </c>
      <c r="Q10" s="165">
        <v>0</v>
      </c>
      <c r="R10" s="165">
        <v>0</v>
      </c>
      <c r="S10" s="165">
        <v>0</v>
      </c>
      <c r="T10" s="165">
        <v>0</v>
      </c>
      <c r="U10" s="165">
        <v>0</v>
      </c>
      <c r="V10" s="165">
        <v>0</v>
      </c>
    </row>
    <row r="11" spans="1:22" ht="16.5">
      <c r="A11" s="109">
        <v>10</v>
      </c>
      <c r="B11" s="165">
        <f t="shared" si="0"/>
        <v>2400.7000000000003</v>
      </c>
      <c r="C11" s="165">
        <f>'GS事務組'!E163</f>
        <v>1454.9</v>
      </c>
      <c r="D11" s="165">
        <v>0</v>
      </c>
      <c r="E11" s="248">
        <f>'GS事務組'!G163</f>
        <v>231.7</v>
      </c>
      <c r="F11" s="180">
        <v>0</v>
      </c>
      <c r="G11" s="180">
        <v>0</v>
      </c>
      <c r="H11" s="248">
        <f>'GS事務組'!J163</f>
        <v>483.09999999999997</v>
      </c>
      <c r="I11" s="165">
        <v>0</v>
      </c>
      <c r="J11" s="165">
        <v>0</v>
      </c>
      <c r="K11" s="165">
        <v>0</v>
      </c>
      <c r="L11" s="165">
        <v>0</v>
      </c>
      <c r="M11" s="165">
        <v>0</v>
      </c>
      <c r="N11" s="248">
        <f>'GS事務組'!P163</f>
        <v>231</v>
      </c>
      <c r="O11" s="165">
        <v>0</v>
      </c>
      <c r="P11" s="165">
        <v>0</v>
      </c>
      <c r="Q11" s="165">
        <v>0</v>
      </c>
      <c r="R11" s="165">
        <v>0</v>
      </c>
      <c r="S11" s="165">
        <v>0</v>
      </c>
      <c r="T11" s="165">
        <v>0</v>
      </c>
      <c r="U11" s="165">
        <v>0</v>
      </c>
      <c r="V11" s="165">
        <v>0</v>
      </c>
    </row>
    <row r="12" spans="1:22" ht="16.5">
      <c r="A12" s="109">
        <v>11</v>
      </c>
      <c r="B12" s="165">
        <f t="shared" si="0"/>
        <v>2160.2</v>
      </c>
      <c r="C12" s="165">
        <f>'GS事務組'!E164</f>
        <v>1323.7</v>
      </c>
      <c r="D12" s="165">
        <v>0</v>
      </c>
      <c r="E12" s="248">
        <f>'GS事務組'!G164</f>
        <v>193.2</v>
      </c>
      <c r="F12" s="180">
        <v>0</v>
      </c>
      <c r="G12" s="180">
        <v>0</v>
      </c>
      <c r="H12" s="248">
        <f>'GS事務組'!J164</f>
        <v>467.29999999999995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248">
        <f>'GS事務組'!P164</f>
        <v>176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0</v>
      </c>
      <c r="U12" s="165">
        <v>0</v>
      </c>
      <c r="V12" s="165">
        <v>0</v>
      </c>
    </row>
    <row r="13" spans="1:22" ht="17.25" thickBot="1">
      <c r="A13" s="113">
        <v>12</v>
      </c>
      <c r="B13" s="165">
        <f t="shared" si="0"/>
        <v>2378.1</v>
      </c>
      <c r="C13" s="165">
        <f>'GS事務組'!E165</f>
        <v>1441</v>
      </c>
      <c r="D13" s="165">
        <v>0</v>
      </c>
      <c r="E13" s="248">
        <f>'GS事務組'!G165</f>
        <v>202.1</v>
      </c>
      <c r="F13" s="180">
        <v>0</v>
      </c>
      <c r="G13" s="180">
        <v>0</v>
      </c>
      <c r="H13" s="248">
        <f>'GS事務組'!J165</f>
        <v>501</v>
      </c>
      <c r="I13" s="165">
        <v>0</v>
      </c>
      <c r="J13" s="165">
        <v>0</v>
      </c>
      <c r="K13" s="165">
        <v>0</v>
      </c>
      <c r="L13" s="165">
        <v>0</v>
      </c>
      <c r="M13" s="165">
        <v>0</v>
      </c>
      <c r="N13" s="248">
        <f>'GS事務組'!P165</f>
        <v>234</v>
      </c>
      <c r="O13" s="165">
        <v>0</v>
      </c>
      <c r="P13" s="165">
        <v>0</v>
      </c>
      <c r="Q13" s="165">
        <v>0</v>
      </c>
      <c r="R13" s="165">
        <v>0</v>
      </c>
      <c r="S13" s="165">
        <v>0</v>
      </c>
      <c r="T13" s="165">
        <v>0</v>
      </c>
      <c r="U13" s="165">
        <v>0</v>
      </c>
      <c r="V13" s="165">
        <v>0</v>
      </c>
    </row>
    <row r="14" spans="1:22" ht="18" thickBot="1" thickTop="1">
      <c r="A14" s="267" t="s">
        <v>27</v>
      </c>
      <c r="B14" s="269">
        <f>SUM(B2:B13)</f>
        <v>20276.7</v>
      </c>
      <c r="C14" s="269">
        <f aca="true" t="shared" si="1" ref="C14:V14">SUM(C2:C13)</f>
        <v>12850</v>
      </c>
      <c r="D14" s="269">
        <f t="shared" si="1"/>
        <v>0</v>
      </c>
      <c r="E14" s="269">
        <f t="shared" si="1"/>
        <v>1687.6</v>
      </c>
      <c r="F14" s="269">
        <f t="shared" si="1"/>
        <v>0</v>
      </c>
      <c r="G14" s="269">
        <f t="shared" si="1"/>
        <v>0</v>
      </c>
      <c r="H14" s="269">
        <f t="shared" si="1"/>
        <v>3669.8</v>
      </c>
      <c r="I14" s="269">
        <f t="shared" si="1"/>
        <v>0</v>
      </c>
      <c r="J14" s="269">
        <f t="shared" si="1"/>
        <v>0</v>
      </c>
      <c r="K14" s="269">
        <f t="shared" si="1"/>
        <v>0</v>
      </c>
      <c r="L14" s="269">
        <f t="shared" si="1"/>
        <v>0</v>
      </c>
      <c r="M14" s="269">
        <f t="shared" si="1"/>
        <v>0</v>
      </c>
      <c r="N14" s="269">
        <f t="shared" si="1"/>
        <v>2069.3</v>
      </c>
      <c r="O14" s="269">
        <f t="shared" si="1"/>
        <v>0</v>
      </c>
      <c r="P14" s="269">
        <f t="shared" si="1"/>
        <v>0</v>
      </c>
      <c r="Q14" s="269">
        <f t="shared" si="1"/>
        <v>0</v>
      </c>
      <c r="R14" s="269">
        <f t="shared" si="1"/>
        <v>0</v>
      </c>
      <c r="S14" s="269">
        <f t="shared" si="1"/>
        <v>0</v>
      </c>
      <c r="T14" s="269">
        <f t="shared" si="1"/>
        <v>0</v>
      </c>
      <c r="U14" s="269">
        <f t="shared" si="1"/>
        <v>0</v>
      </c>
      <c r="V14" s="269">
        <f t="shared" si="1"/>
        <v>0</v>
      </c>
    </row>
    <row r="15" spans="1:22" ht="31.5" thickBot="1" thickTop="1">
      <c r="A15" s="271" t="s">
        <v>48</v>
      </c>
      <c r="B15" s="269">
        <f>B14/12</f>
        <v>1689.7250000000001</v>
      </c>
      <c r="C15" s="269">
        <f aca="true" t="shared" si="2" ref="C15:V15">C14/12</f>
        <v>1070.8333333333333</v>
      </c>
      <c r="D15" s="269">
        <f t="shared" si="2"/>
        <v>0</v>
      </c>
      <c r="E15" s="269">
        <f t="shared" si="2"/>
        <v>140.63333333333333</v>
      </c>
      <c r="F15" s="269">
        <f t="shared" si="2"/>
        <v>0</v>
      </c>
      <c r="G15" s="269">
        <f t="shared" si="2"/>
        <v>0</v>
      </c>
      <c r="H15" s="269">
        <f t="shared" si="2"/>
        <v>305.81666666666666</v>
      </c>
      <c r="I15" s="269">
        <f t="shared" si="2"/>
        <v>0</v>
      </c>
      <c r="J15" s="269">
        <f t="shared" si="2"/>
        <v>0</v>
      </c>
      <c r="K15" s="269">
        <f t="shared" si="2"/>
        <v>0</v>
      </c>
      <c r="L15" s="269">
        <f t="shared" si="2"/>
        <v>0</v>
      </c>
      <c r="M15" s="269">
        <f t="shared" si="2"/>
        <v>0</v>
      </c>
      <c r="N15" s="269">
        <f t="shared" si="2"/>
        <v>172.4416666666667</v>
      </c>
      <c r="O15" s="269">
        <f t="shared" si="2"/>
        <v>0</v>
      </c>
      <c r="P15" s="269">
        <f t="shared" si="2"/>
        <v>0</v>
      </c>
      <c r="Q15" s="269">
        <f t="shared" si="2"/>
        <v>0</v>
      </c>
      <c r="R15" s="269">
        <f t="shared" si="2"/>
        <v>0</v>
      </c>
      <c r="S15" s="269">
        <f t="shared" si="2"/>
        <v>0</v>
      </c>
      <c r="T15" s="269">
        <f t="shared" si="2"/>
        <v>0</v>
      </c>
      <c r="U15" s="269">
        <f t="shared" si="2"/>
        <v>0</v>
      </c>
      <c r="V15" s="269">
        <f t="shared" si="2"/>
        <v>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7"/>
  </sheetPr>
  <dimension ref="B1:Z10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08" sqref="C108"/>
    </sheetView>
  </sheetViews>
  <sheetFormatPr defaultColWidth="8.875" defaultRowHeight="16.5"/>
  <cols>
    <col min="1" max="1" width="3.25390625" style="2" customWidth="1"/>
    <col min="2" max="2" width="6.875" style="2" customWidth="1"/>
    <col min="3" max="3" width="6.75390625" style="37" customWidth="1"/>
    <col min="4" max="21" width="5.75390625" style="8" customWidth="1"/>
    <col min="22" max="22" width="5.75390625" style="77" customWidth="1"/>
    <col min="23" max="23" width="5.75390625" style="2" customWidth="1"/>
    <col min="24" max="16384" width="8.875" style="2" customWidth="1"/>
  </cols>
  <sheetData>
    <row r="1" spans="3:22" s="31" customFormat="1" ht="11.25" thickBot="1">
      <c r="C1" s="34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9">
        <v>0</v>
      </c>
      <c r="M1" s="9">
        <v>1</v>
      </c>
      <c r="N1" s="9">
        <v>2</v>
      </c>
      <c r="O1" s="9">
        <v>3</v>
      </c>
      <c r="P1" s="9">
        <v>4</v>
      </c>
      <c r="Q1" s="9">
        <v>5</v>
      </c>
      <c r="R1" s="9">
        <v>6</v>
      </c>
      <c r="S1" s="9">
        <v>7</v>
      </c>
      <c r="T1" s="9">
        <v>8</v>
      </c>
      <c r="U1" s="9">
        <v>9</v>
      </c>
      <c r="V1" s="74">
        <v>0</v>
      </c>
    </row>
    <row r="2" spans="2:23" ht="63.75" thickTop="1">
      <c r="B2" s="23" t="s">
        <v>46</v>
      </c>
      <c r="C2" s="24" t="s">
        <v>32</v>
      </c>
      <c r="D2" s="25" t="s">
        <v>44</v>
      </c>
      <c r="E2" s="25" t="s">
        <v>43</v>
      </c>
      <c r="F2" s="25" t="s">
        <v>42</v>
      </c>
      <c r="G2" s="26" t="s">
        <v>5</v>
      </c>
      <c r="H2" s="27" t="s">
        <v>36</v>
      </c>
      <c r="I2" s="27" t="s">
        <v>7</v>
      </c>
      <c r="J2" s="27" t="s">
        <v>8</v>
      </c>
      <c r="K2" s="27" t="s">
        <v>38</v>
      </c>
      <c r="L2" s="25" t="s">
        <v>39</v>
      </c>
      <c r="M2" s="25" t="s">
        <v>40</v>
      </c>
      <c r="N2" s="27" t="s">
        <v>41</v>
      </c>
      <c r="O2" s="25" t="s">
        <v>33</v>
      </c>
      <c r="P2" s="25" t="s">
        <v>34</v>
      </c>
      <c r="Q2" s="25" t="s">
        <v>35</v>
      </c>
      <c r="R2" s="27" t="s">
        <v>16</v>
      </c>
      <c r="S2" s="28" t="s">
        <v>37</v>
      </c>
      <c r="T2" s="25" t="s">
        <v>54</v>
      </c>
      <c r="U2" s="28" t="s">
        <v>28</v>
      </c>
      <c r="V2" s="75" t="s">
        <v>45</v>
      </c>
      <c r="W2" s="67" t="s">
        <v>49</v>
      </c>
    </row>
    <row r="3" spans="2:23" s="19" customFormat="1" ht="19.5" customHeight="1" hidden="1">
      <c r="B3" s="39">
        <v>6</v>
      </c>
      <c r="C3" s="40">
        <f>SUM(D3:V3)</f>
        <v>0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/>
      <c r="W3" s="78"/>
    </row>
    <row r="4" spans="2:23" s="15" customFormat="1" ht="19.5" customHeight="1" hidden="1">
      <c r="B4" s="32">
        <v>7</v>
      </c>
      <c r="C4" s="73">
        <f>SUM(D4:V4)</f>
        <v>92.75</v>
      </c>
      <c r="D4" s="16"/>
      <c r="E4" s="16"/>
      <c r="F4" s="16"/>
      <c r="G4" s="16"/>
      <c r="H4" s="16"/>
      <c r="I4" s="16"/>
      <c r="J4" s="16"/>
      <c r="K4" s="16"/>
      <c r="L4" s="16">
        <v>4</v>
      </c>
      <c r="M4" s="16"/>
      <c r="N4" s="16"/>
      <c r="O4" s="16"/>
      <c r="P4" s="16"/>
      <c r="Q4" s="16">
        <v>3</v>
      </c>
      <c r="R4" s="16"/>
      <c r="S4" s="16">
        <v>46</v>
      </c>
      <c r="T4" s="16"/>
      <c r="U4" s="16">
        <v>5</v>
      </c>
      <c r="V4" s="17">
        <f>((8+14+10+16+9)*0.5)+(25*0.25)</f>
        <v>34.75</v>
      </c>
      <c r="W4" s="65"/>
    </row>
    <row r="5" spans="2:23" s="15" customFormat="1" ht="19.5" customHeight="1" hidden="1">
      <c r="B5" s="32">
        <v>8</v>
      </c>
      <c r="C5" s="35">
        <f aca="true" t="shared" si="0" ref="C5:C43">SUM(D5:V5)</f>
        <v>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7">
        <v>0</v>
      </c>
      <c r="W5" s="65"/>
    </row>
    <row r="6" spans="2:23" s="15" customFormat="1" ht="19.5" customHeight="1" hidden="1">
      <c r="B6" s="32">
        <v>9</v>
      </c>
      <c r="C6" s="35">
        <f t="shared" si="0"/>
        <v>91</v>
      </c>
      <c r="D6" s="16"/>
      <c r="E6" s="16"/>
      <c r="F6" s="16"/>
      <c r="G6" s="16"/>
      <c r="H6" s="16"/>
      <c r="I6" s="16"/>
      <c r="J6" s="16"/>
      <c r="K6" s="16"/>
      <c r="L6" s="16">
        <v>1</v>
      </c>
      <c r="M6" s="16"/>
      <c r="N6" s="16"/>
      <c r="O6" s="16"/>
      <c r="P6" s="16"/>
      <c r="Q6" s="16"/>
      <c r="R6" s="16">
        <v>16</v>
      </c>
      <c r="S6" s="16">
        <v>34</v>
      </c>
      <c r="T6" s="16"/>
      <c r="U6" s="16">
        <f>3+1</f>
        <v>4</v>
      </c>
      <c r="V6" s="17">
        <f>(9*0.5)+(17*0.5)+(31*0.5)+(15*0.5)</f>
        <v>36</v>
      </c>
      <c r="W6" s="65">
        <f>360*3+144</f>
        <v>1224</v>
      </c>
    </row>
    <row r="7" spans="2:23" s="15" customFormat="1" ht="19.5" customHeight="1" hidden="1">
      <c r="B7" s="32">
        <v>10</v>
      </c>
      <c r="C7" s="35">
        <f t="shared" si="0"/>
        <v>195.25</v>
      </c>
      <c r="D7" s="16"/>
      <c r="E7" s="16"/>
      <c r="F7" s="16"/>
      <c r="G7" s="16"/>
      <c r="H7" s="16"/>
      <c r="I7" s="16"/>
      <c r="J7" s="16"/>
      <c r="K7" s="16"/>
      <c r="L7" s="16">
        <v>3</v>
      </c>
      <c r="M7" s="16"/>
      <c r="N7" s="16"/>
      <c r="O7" s="16"/>
      <c r="P7" s="16"/>
      <c r="Q7" s="16">
        <v>20</v>
      </c>
      <c r="R7" s="16"/>
      <c r="S7" s="16">
        <v>51</v>
      </c>
      <c r="T7" s="16"/>
      <c r="U7" s="16">
        <v>7.5</v>
      </c>
      <c r="V7" s="17">
        <f>(11+17+22+21+7)*0.5+(19*0.25)+(15+7+29+15+26+15+10+8+15)*0.5</f>
        <v>113.75</v>
      </c>
      <c r="W7" s="65">
        <v>1584</v>
      </c>
    </row>
    <row r="8" spans="2:23" s="15" customFormat="1" ht="19.5" customHeight="1" hidden="1">
      <c r="B8" s="32">
        <v>11</v>
      </c>
      <c r="C8" s="35">
        <f t="shared" si="0"/>
        <v>235.5</v>
      </c>
      <c r="D8" s="16"/>
      <c r="E8" s="16"/>
      <c r="F8" s="16"/>
      <c r="G8" s="16"/>
      <c r="H8" s="16"/>
      <c r="I8" s="16"/>
      <c r="J8" s="16"/>
      <c r="K8" s="16"/>
      <c r="L8" s="16">
        <v>2</v>
      </c>
      <c r="M8" s="16"/>
      <c r="N8" s="16"/>
      <c r="O8" s="16"/>
      <c r="P8" s="16"/>
      <c r="Q8" s="16">
        <v>9</v>
      </c>
      <c r="R8" s="16">
        <v>1</v>
      </c>
      <c r="S8" s="16">
        <v>148</v>
      </c>
      <c r="T8" s="16"/>
      <c r="U8" s="16">
        <v>3</v>
      </c>
      <c r="V8" s="76">
        <f>(8+43+19+13+9+19+12+14)*0.5+16*0.25</f>
        <v>72.5</v>
      </c>
      <c r="W8" s="65">
        <v>1512</v>
      </c>
    </row>
    <row r="9" spans="2:23" s="15" customFormat="1" ht="19.5" customHeight="1" hidden="1">
      <c r="B9" s="32">
        <v>12</v>
      </c>
      <c r="C9" s="35">
        <f t="shared" si="0"/>
        <v>278.5</v>
      </c>
      <c r="D9" s="16"/>
      <c r="E9" s="16"/>
      <c r="F9" s="16"/>
      <c r="G9" s="16"/>
      <c r="H9" s="16"/>
      <c r="I9" s="16"/>
      <c r="J9" s="16"/>
      <c r="K9" s="16"/>
      <c r="L9" s="16">
        <v>10</v>
      </c>
      <c r="M9" s="16"/>
      <c r="N9" s="16"/>
      <c r="O9" s="16"/>
      <c r="P9" s="16"/>
      <c r="Q9" s="16">
        <v>6</v>
      </c>
      <c r="R9" s="16"/>
      <c r="S9" s="16">
        <v>90</v>
      </c>
      <c r="T9" s="16"/>
      <c r="U9" s="16">
        <v>8</v>
      </c>
      <c r="V9" s="17">
        <f>(9+9+35+18+15+5+20+51+3)*0.5+(9+12+6+12+36+89)*0.5</f>
        <v>164.5</v>
      </c>
      <c r="W9" s="65">
        <v>1656</v>
      </c>
    </row>
    <row r="10" spans="2:23" s="15" customFormat="1" ht="19.5" customHeight="1" hidden="1">
      <c r="B10" s="32">
        <v>98.1</v>
      </c>
      <c r="C10" s="35">
        <f t="shared" si="0"/>
        <v>149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v>13</v>
      </c>
      <c r="R10" s="16">
        <v>3</v>
      </c>
      <c r="S10" s="16">
        <v>88</v>
      </c>
      <c r="T10" s="16"/>
      <c r="U10" s="16">
        <v>3</v>
      </c>
      <c r="V10" s="17">
        <f>(7+7+19+7+6+27+11+0)*0.5</f>
        <v>42</v>
      </c>
      <c r="W10" s="107">
        <v>468</v>
      </c>
    </row>
    <row r="11" spans="2:26" s="15" customFormat="1" ht="19.5" customHeight="1" hidden="1">
      <c r="B11" s="32">
        <v>2</v>
      </c>
      <c r="C11" s="35">
        <f t="shared" si="0"/>
        <v>142.75</v>
      </c>
      <c r="D11" s="16"/>
      <c r="E11" s="16"/>
      <c r="F11" s="16"/>
      <c r="G11" s="16"/>
      <c r="H11" s="16"/>
      <c r="I11" s="16"/>
      <c r="J11" s="16"/>
      <c r="K11" s="16"/>
      <c r="L11" s="16">
        <v>3</v>
      </c>
      <c r="M11" s="16"/>
      <c r="N11" s="16"/>
      <c r="O11" s="16"/>
      <c r="P11" s="16"/>
      <c r="Q11" s="16">
        <v>3</v>
      </c>
      <c r="R11" s="16"/>
      <c r="S11" s="16">
        <v>102</v>
      </c>
      <c r="T11" s="16"/>
      <c r="U11" s="16">
        <v>1</v>
      </c>
      <c r="V11" s="17">
        <f>(7+7+6+16+12+4+14)*0.5+3*0.25</f>
        <v>33.75</v>
      </c>
      <c r="W11" s="107">
        <v>1080</v>
      </c>
      <c r="X11" s="38"/>
      <c r="Y11" s="38"/>
      <c r="Z11" s="38"/>
    </row>
    <row r="12" spans="2:26" s="15" customFormat="1" ht="19.5" customHeight="1" hidden="1">
      <c r="B12" s="32">
        <v>3</v>
      </c>
      <c r="C12" s="35">
        <f t="shared" si="0"/>
        <v>79.25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v>3</v>
      </c>
      <c r="R12" s="16"/>
      <c r="S12" s="16"/>
      <c r="T12" s="16"/>
      <c r="U12" s="16">
        <v>4</v>
      </c>
      <c r="V12" s="17">
        <f>(37+7+6+6+9+10+18+7+8+6+8)*0.5+45*0.25</f>
        <v>72.25</v>
      </c>
      <c r="W12" s="107">
        <v>1440</v>
      </c>
      <c r="X12" s="38"/>
      <c r="Y12" s="38"/>
      <c r="Z12" s="38"/>
    </row>
    <row r="13" spans="2:23" s="15" customFormat="1" ht="19.5" customHeight="1" hidden="1">
      <c r="B13" s="32">
        <v>4</v>
      </c>
      <c r="C13" s="35">
        <f t="shared" si="0"/>
        <v>310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v>11</v>
      </c>
      <c r="R13" s="16">
        <v>25</v>
      </c>
      <c r="S13" s="16">
        <v>208</v>
      </c>
      <c r="T13" s="16"/>
      <c r="U13" s="16">
        <v>7</v>
      </c>
      <c r="V13" s="17">
        <f>(2+16+12+14+11)*0.5+(7+5+4+8+20+0)*0.5+(2+2+34)*0.25</f>
        <v>59</v>
      </c>
      <c r="W13" s="107">
        <v>1368</v>
      </c>
    </row>
    <row r="14" spans="2:23" s="14" customFormat="1" ht="19.5" customHeight="1" hidden="1">
      <c r="B14" s="43">
        <v>5</v>
      </c>
      <c r="C14" s="105">
        <f t="shared" si="0"/>
        <v>144.75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>
        <v>0.5</v>
      </c>
      <c r="R14" s="12"/>
      <c r="S14" s="12">
        <f>72+17</f>
        <v>89</v>
      </c>
      <c r="T14" s="12"/>
      <c r="U14" s="12">
        <v>2.5</v>
      </c>
      <c r="V14" s="13">
        <f>(20+16+8+16+23+5)*0.5+(15+8+9+3)*0.25</f>
        <v>52.75</v>
      </c>
      <c r="W14" s="106">
        <v>1368</v>
      </c>
    </row>
    <row r="15" spans="2:23" ht="19.5" customHeight="1" hidden="1">
      <c r="B15" s="33">
        <v>6</v>
      </c>
      <c r="C15" s="36">
        <f t="shared" si="0"/>
        <v>251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v>7</v>
      </c>
      <c r="R15" s="16"/>
      <c r="S15" s="16">
        <v>201</v>
      </c>
      <c r="T15" s="16"/>
      <c r="U15" s="16">
        <v>2</v>
      </c>
      <c r="V15" s="17">
        <v>41</v>
      </c>
      <c r="W15" s="66">
        <v>1080</v>
      </c>
    </row>
    <row r="16" spans="2:23" s="15" customFormat="1" ht="19.5" customHeight="1" hidden="1">
      <c r="B16" s="32">
        <v>7</v>
      </c>
      <c r="C16" s="35">
        <f>SUM(D16:V16)</f>
        <v>115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v>6</v>
      </c>
      <c r="R16" s="16"/>
      <c r="S16" s="16">
        <v>66</v>
      </c>
      <c r="T16" s="16"/>
      <c r="U16" s="16">
        <v>7</v>
      </c>
      <c r="V16" s="17">
        <v>36</v>
      </c>
      <c r="W16" s="65">
        <v>0</v>
      </c>
    </row>
    <row r="17" spans="2:23" ht="19.5" customHeight="1" hidden="1">
      <c r="B17" s="33">
        <v>8</v>
      </c>
      <c r="C17" s="36">
        <f t="shared" si="0"/>
        <v>156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>
        <v>7</v>
      </c>
      <c r="R17" s="16"/>
      <c r="S17" s="16">
        <v>80</v>
      </c>
      <c r="T17" s="16"/>
      <c r="U17" s="16">
        <v>10</v>
      </c>
      <c r="V17" s="17">
        <v>59</v>
      </c>
      <c r="W17" s="66">
        <v>0</v>
      </c>
    </row>
    <row r="18" spans="2:23" ht="19.5" customHeight="1" hidden="1">
      <c r="B18" s="32">
        <v>9</v>
      </c>
      <c r="C18" s="36">
        <f t="shared" si="0"/>
        <v>99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>
        <v>8</v>
      </c>
      <c r="R18" s="62">
        <v>7</v>
      </c>
      <c r="S18" s="62"/>
      <c r="T18" s="62"/>
      <c r="U18" s="62">
        <v>10</v>
      </c>
      <c r="V18" s="63">
        <v>74</v>
      </c>
      <c r="W18" s="66">
        <v>936</v>
      </c>
    </row>
    <row r="19" spans="2:23" ht="19.5" customHeight="1" hidden="1">
      <c r="B19" s="33">
        <v>10</v>
      </c>
      <c r="C19" s="36">
        <f t="shared" si="0"/>
        <v>262</v>
      </c>
      <c r="D19" s="62"/>
      <c r="E19" s="62"/>
      <c r="F19" s="62"/>
      <c r="G19" s="62"/>
      <c r="H19" s="62"/>
      <c r="I19" s="62">
        <v>30</v>
      </c>
      <c r="J19" s="62"/>
      <c r="K19" s="62"/>
      <c r="L19" s="62">
        <v>1</v>
      </c>
      <c r="M19" s="62"/>
      <c r="N19" s="62"/>
      <c r="O19" s="62"/>
      <c r="P19" s="62"/>
      <c r="Q19" s="62">
        <v>3</v>
      </c>
      <c r="R19" s="62">
        <v>1</v>
      </c>
      <c r="S19" s="62">
        <v>174</v>
      </c>
      <c r="T19" s="62"/>
      <c r="U19" s="62">
        <v>3</v>
      </c>
      <c r="V19" s="63">
        <v>50</v>
      </c>
      <c r="W19" s="66">
        <v>1584</v>
      </c>
    </row>
    <row r="20" spans="2:23" ht="19.5" customHeight="1" hidden="1">
      <c r="B20" s="32">
        <v>11</v>
      </c>
      <c r="C20" s="36">
        <f t="shared" si="0"/>
        <v>183.2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>
        <v>12.2</v>
      </c>
      <c r="R20" s="62"/>
      <c r="S20" s="62"/>
      <c r="T20" s="62"/>
      <c r="U20" s="62"/>
      <c r="V20" s="63">
        <v>171</v>
      </c>
      <c r="W20" s="66">
        <v>1512</v>
      </c>
    </row>
    <row r="21" spans="2:23" ht="19.5" customHeight="1" hidden="1">
      <c r="B21" s="32">
        <v>12</v>
      </c>
      <c r="C21" s="36">
        <f t="shared" si="0"/>
        <v>366.5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>
        <v>54.5</v>
      </c>
      <c r="R21" s="62">
        <v>28</v>
      </c>
      <c r="S21" s="62">
        <v>110</v>
      </c>
      <c r="T21" s="62"/>
      <c r="U21" s="62">
        <v>11</v>
      </c>
      <c r="V21" s="63">
        <v>163</v>
      </c>
      <c r="W21" s="66">
        <v>1656</v>
      </c>
    </row>
    <row r="22" spans="2:23" ht="19.5" customHeight="1" hidden="1">
      <c r="B22" s="32">
        <v>99.1</v>
      </c>
      <c r="C22" s="36">
        <f t="shared" si="0"/>
        <v>29.4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>
        <v>29.4</v>
      </c>
      <c r="R22" s="62"/>
      <c r="S22" s="62"/>
      <c r="T22" s="62"/>
      <c r="U22" s="62"/>
      <c r="V22" s="63"/>
      <c r="W22" s="66">
        <v>720</v>
      </c>
    </row>
    <row r="23" spans="2:23" ht="19.5" customHeight="1" hidden="1">
      <c r="B23" s="32">
        <v>2</v>
      </c>
      <c r="C23" s="36">
        <f t="shared" si="0"/>
        <v>193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>
        <v>43.5</v>
      </c>
      <c r="R23" s="62"/>
      <c r="S23" s="62">
        <v>111</v>
      </c>
      <c r="T23" s="62"/>
      <c r="U23" s="62">
        <v>0.5</v>
      </c>
      <c r="V23" s="63">
        <v>38</v>
      </c>
      <c r="W23" s="66">
        <v>360</v>
      </c>
    </row>
    <row r="24" spans="2:23" ht="19.5" customHeight="1" hidden="1">
      <c r="B24" s="32">
        <v>3</v>
      </c>
      <c r="C24" s="36">
        <f t="shared" si="0"/>
        <v>105.5</v>
      </c>
      <c r="D24" s="62"/>
      <c r="E24" s="62"/>
      <c r="F24" s="62"/>
      <c r="G24" s="62"/>
      <c r="H24" s="62"/>
      <c r="I24" s="62">
        <v>15</v>
      </c>
      <c r="J24" s="62"/>
      <c r="K24" s="62"/>
      <c r="L24" s="62"/>
      <c r="M24" s="62"/>
      <c r="N24" s="62"/>
      <c r="O24" s="62"/>
      <c r="P24" s="62"/>
      <c r="Q24" s="62">
        <v>45</v>
      </c>
      <c r="R24" s="62"/>
      <c r="S24" s="62"/>
      <c r="T24" s="62"/>
      <c r="U24" s="62"/>
      <c r="V24" s="63">
        <v>45.5</v>
      </c>
      <c r="W24" s="66">
        <v>1656</v>
      </c>
    </row>
    <row r="25" spans="2:23" ht="19.5" customHeight="1" hidden="1">
      <c r="B25" s="32">
        <v>4</v>
      </c>
      <c r="C25" s="36">
        <f t="shared" si="0"/>
        <v>126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>
        <v>65</v>
      </c>
      <c r="R25" s="62">
        <v>14</v>
      </c>
      <c r="S25" s="62"/>
      <c r="T25" s="62"/>
      <c r="U25" s="62"/>
      <c r="V25" s="63">
        <v>47</v>
      </c>
      <c r="W25" s="66">
        <v>1224</v>
      </c>
    </row>
    <row r="26" spans="2:23" ht="19.5" customHeight="1" hidden="1">
      <c r="B26" s="32">
        <v>5</v>
      </c>
      <c r="C26" s="36">
        <f t="shared" si="0"/>
        <v>209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>
        <v>5</v>
      </c>
      <c r="R26" s="62"/>
      <c r="S26" s="62">
        <v>116</v>
      </c>
      <c r="T26" s="62"/>
      <c r="U26" s="62">
        <v>3</v>
      </c>
      <c r="V26" s="63">
        <v>85</v>
      </c>
      <c r="W26" s="66">
        <v>1512</v>
      </c>
    </row>
    <row r="27" spans="2:23" ht="19.5" customHeight="1" hidden="1">
      <c r="B27" s="32">
        <v>6</v>
      </c>
      <c r="C27" s="36">
        <f t="shared" si="0"/>
        <v>0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3"/>
      <c r="W27" s="66">
        <v>1280</v>
      </c>
    </row>
    <row r="28" spans="2:23" ht="19.5" customHeight="1" hidden="1">
      <c r="B28" s="32">
        <v>7</v>
      </c>
      <c r="C28" s="36">
        <f t="shared" si="0"/>
        <v>57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>
        <v>8</v>
      </c>
      <c r="R28" s="62"/>
      <c r="S28" s="62"/>
      <c r="T28" s="62"/>
      <c r="U28" s="62">
        <v>3</v>
      </c>
      <c r="V28" s="63">
        <v>46</v>
      </c>
      <c r="W28" s="66">
        <v>0</v>
      </c>
    </row>
    <row r="29" spans="2:23" ht="19.5" customHeight="1" hidden="1">
      <c r="B29" s="32">
        <v>8</v>
      </c>
      <c r="C29" s="36">
        <f t="shared" si="0"/>
        <v>82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>
        <v>2</v>
      </c>
      <c r="R29" s="62"/>
      <c r="S29" s="62"/>
      <c r="T29" s="62"/>
      <c r="U29" s="62">
        <v>1</v>
      </c>
      <c r="V29" s="63">
        <v>79</v>
      </c>
      <c r="W29" s="66">
        <v>0</v>
      </c>
    </row>
    <row r="30" spans="2:23" ht="19.5" customHeight="1" hidden="1">
      <c r="B30" s="32">
        <v>9</v>
      </c>
      <c r="C30" s="36">
        <f t="shared" si="0"/>
        <v>113.25</v>
      </c>
      <c r="D30" s="62"/>
      <c r="E30" s="62"/>
      <c r="F30" s="62"/>
      <c r="G30" s="62"/>
      <c r="H30" s="62"/>
      <c r="I30" s="62"/>
      <c r="J30" s="62"/>
      <c r="K30" s="62"/>
      <c r="L30" s="62"/>
      <c r="M30" s="62">
        <v>15.5</v>
      </c>
      <c r="N30" s="62"/>
      <c r="O30" s="62"/>
      <c r="P30" s="62"/>
      <c r="Q30" s="62">
        <v>0.5</v>
      </c>
      <c r="R30" s="62"/>
      <c r="S30" s="62"/>
      <c r="T30" s="62"/>
      <c r="U30" s="62">
        <v>1</v>
      </c>
      <c r="V30" s="63">
        <v>96.25</v>
      </c>
      <c r="W30" s="66">
        <v>936</v>
      </c>
    </row>
    <row r="31" spans="2:23" ht="19.5" customHeight="1" hidden="1">
      <c r="B31" s="32">
        <v>10</v>
      </c>
      <c r="C31" s="36">
        <f t="shared" si="0"/>
        <v>155</v>
      </c>
      <c r="D31" s="62"/>
      <c r="E31" s="62"/>
      <c r="F31" s="62"/>
      <c r="G31" s="62"/>
      <c r="H31" s="62"/>
      <c r="I31" s="62"/>
      <c r="J31" s="62"/>
      <c r="K31" s="62"/>
      <c r="L31" s="62"/>
      <c r="M31" s="62">
        <v>0</v>
      </c>
      <c r="N31" s="62"/>
      <c r="O31" s="62"/>
      <c r="P31" s="62"/>
      <c r="Q31" s="62">
        <v>5</v>
      </c>
      <c r="R31" s="62"/>
      <c r="S31" s="62">
        <v>105</v>
      </c>
      <c r="T31" s="62"/>
      <c r="U31" s="62">
        <v>7</v>
      </c>
      <c r="V31" s="63">
        <v>38</v>
      </c>
      <c r="W31" s="66">
        <v>1152</v>
      </c>
    </row>
    <row r="32" spans="2:23" ht="19.5" customHeight="1" hidden="1">
      <c r="B32" s="32">
        <v>11</v>
      </c>
      <c r="C32" s="36">
        <f t="shared" si="0"/>
        <v>72.5</v>
      </c>
      <c r="D32" s="62"/>
      <c r="E32" s="62"/>
      <c r="F32" s="62"/>
      <c r="G32" s="62"/>
      <c r="H32" s="62"/>
      <c r="I32" s="62"/>
      <c r="J32" s="62"/>
      <c r="K32" s="62"/>
      <c r="L32" s="62"/>
      <c r="M32" s="62">
        <v>0</v>
      </c>
      <c r="N32" s="62"/>
      <c r="O32" s="62"/>
      <c r="P32" s="62"/>
      <c r="Q32" s="62">
        <v>1</v>
      </c>
      <c r="R32" s="62"/>
      <c r="S32" s="62">
        <v>0</v>
      </c>
      <c r="T32" s="62"/>
      <c r="U32" s="62">
        <v>3.5</v>
      </c>
      <c r="V32" s="63">
        <v>68</v>
      </c>
      <c r="W32" s="66">
        <v>1584</v>
      </c>
    </row>
    <row r="33" spans="2:23" ht="19.5" customHeight="1" hidden="1">
      <c r="B33" s="32">
        <v>12</v>
      </c>
      <c r="C33" s="36">
        <f t="shared" si="0"/>
        <v>38.5</v>
      </c>
      <c r="D33" s="62"/>
      <c r="E33" s="62"/>
      <c r="F33" s="62"/>
      <c r="G33" s="62"/>
      <c r="H33" s="62"/>
      <c r="I33" s="62"/>
      <c r="J33" s="62"/>
      <c r="K33" s="62"/>
      <c r="L33" s="62"/>
      <c r="M33" s="62">
        <v>0</v>
      </c>
      <c r="N33" s="62"/>
      <c r="O33" s="62"/>
      <c r="P33" s="62"/>
      <c r="Q33" s="62">
        <v>1</v>
      </c>
      <c r="R33" s="62"/>
      <c r="S33" s="62">
        <v>0</v>
      </c>
      <c r="T33" s="62"/>
      <c r="U33" s="62">
        <v>0.5</v>
      </c>
      <c r="V33" s="63">
        <v>37</v>
      </c>
      <c r="W33" s="66">
        <v>1656</v>
      </c>
    </row>
    <row r="34" spans="2:23" ht="19.5" customHeight="1" hidden="1">
      <c r="B34" s="33">
        <v>100.1</v>
      </c>
      <c r="C34" s="158">
        <f t="shared" si="0"/>
        <v>88.25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>
        <v>0</v>
      </c>
      <c r="N34" s="151"/>
      <c r="O34" s="151"/>
      <c r="P34" s="151"/>
      <c r="Q34" s="151">
        <v>4</v>
      </c>
      <c r="R34" s="151"/>
      <c r="S34" s="151">
        <v>39</v>
      </c>
      <c r="T34" s="151"/>
      <c r="U34" s="151">
        <v>6</v>
      </c>
      <c r="V34" s="151">
        <v>39.25</v>
      </c>
      <c r="W34" s="153">
        <v>720</v>
      </c>
    </row>
    <row r="35" spans="2:23" ht="16.5" hidden="1">
      <c r="B35" s="10">
        <v>2</v>
      </c>
      <c r="C35" s="159">
        <f t="shared" si="0"/>
        <v>74.75</v>
      </c>
      <c r="D35" s="146"/>
      <c r="E35" s="146"/>
      <c r="F35" s="146"/>
      <c r="G35" s="146"/>
      <c r="H35" s="146"/>
      <c r="I35" s="146"/>
      <c r="J35" s="146"/>
      <c r="K35" s="146"/>
      <c r="L35" s="146"/>
      <c r="M35" s="146">
        <v>0</v>
      </c>
      <c r="N35" s="146"/>
      <c r="O35" s="146"/>
      <c r="P35" s="146"/>
      <c r="Q35" s="146">
        <v>3</v>
      </c>
      <c r="R35" s="146"/>
      <c r="S35" s="146">
        <v>0</v>
      </c>
      <c r="T35" s="146"/>
      <c r="U35" s="146">
        <v>7</v>
      </c>
      <c r="V35" s="151">
        <v>64.75</v>
      </c>
      <c r="W35" s="153">
        <v>720</v>
      </c>
    </row>
    <row r="36" spans="2:23" ht="16.5" hidden="1">
      <c r="B36" s="10">
        <v>3</v>
      </c>
      <c r="C36" s="159">
        <f t="shared" si="0"/>
        <v>68.5</v>
      </c>
      <c r="D36" s="146"/>
      <c r="E36" s="146"/>
      <c r="F36" s="146"/>
      <c r="G36" s="146"/>
      <c r="H36" s="146"/>
      <c r="I36" s="146"/>
      <c r="J36" s="146"/>
      <c r="K36" s="146"/>
      <c r="L36" s="146"/>
      <c r="M36" s="146">
        <v>0</v>
      </c>
      <c r="N36" s="146"/>
      <c r="O36" s="146"/>
      <c r="P36" s="146"/>
      <c r="Q36" s="146">
        <v>0</v>
      </c>
      <c r="R36" s="146"/>
      <c r="S36" s="146">
        <v>45</v>
      </c>
      <c r="T36" s="146"/>
      <c r="U36" s="146">
        <v>2</v>
      </c>
      <c r="V36" s="151">
        <v>21.5</v>
      </c>
      <c r="W36" s="153">
        <v>1640</v>
      </c>
    </row>
    <row r="37" spans="2:23" ht="16.5" hidden="1">
      <c r="B37" s="10">
        <v>4</v>
      </c>
      <c r="C37" s="159">
        <f t="shared" si="0"/>
        <v>109.75</v>
      </c>
      <c r="D37" s="146"/>
      <c r="E37" s="146"/>
      <c r="F37" s="146"/>
      <c r="G37" s="146"/>
      <c r="H37" s="146"/>
      <c r="I37" s="146"/>
      <c r="J37" s="146"/>
      <c r="K37" s="146"/>
      <c r="L37" s="146"/>
      <c r="M37" s="146">
        <v>0</v>
      </c>
      <c r="N37" s="146"/>
      <c r="O37" s="146"/>
      <c r="P37" s="146"/>
      <c r="Q37" s="146">
        <v>2</v>
      </c>
      <c r="R37" s="146"/>
      <c r="S37" s="146">
        <v>45</v>
      </c>
      <c r="T37" s="146"/>
      <c r="U37" s="146">
        <v>3</v>
      </c>
      <c r="V37" s="151">
        <v>59.75</v>
      </c>
      <c r="W37" s="153">
        <v>1640</v>
      </c>
    </row>
    <row r="38" spans="2:23" ht="16.5" hidden="1">
      <c r="B38" s="10">
        <v>5</v>
      </c>
      <c r="C38" s="159">
        <f t="shared" si="0"/>
        <v>68.25</v>
      </c>
      <c r="D38" s="146"/>
      <c r="E38" s="146"/>
      <c r="F38" s="146"/>
      <c r="G38" s="146"/>
      <c r="H38" s="146"/>
      <c r="I38" s="146"/>
      <c r="J38" s="146"/>
      <c r="K38" s="146"/>
      <c r="L38" s="146"/>
      <c r="M38" s="146">
        <v>0</v>
      </c>
      <c r="N38" s="146"/>
      <c r="O38" s="146"/>
      <c r="P38" s="146"/>
      <c r="Q38" s="146">
        <v>1</v>
      </c>
      <c r="R38" s="146"/>
      <c r="S38" s="146">
        <v>0</v>
      </c>
      <c r="T38" s="146"/>
      <c r="U38" s="146">
        <v>2</v>
      </c>
      <c r="V38" s="151">
        <v>65.25</v>
      </c>
      <c r="W38" s="153">
        <v>1584</v>
      </c>
    </row>
    <row r="39" spans="2:23" ht="16.5" hidden="1">
      <c r="B39" s="10">
        <v>6</v>
      </c>
      <c r="C39" s="159">
        <f t="shared" si="0"/>
        <v>0</v>
      </c>
      <c r="D39" s="146"/>
      <c r="E39" s="146"/>
      <c r="F39" s="146"/>
      <c r="G39" s="146"/>
      <c r="H39" s="146"/>
      <c r="I39" s="146"/>
      <c r="J39" s="146"/>
      <c r="K39" s="146"/>
      <c r="L39" s="146"/>
      <c r="M39" s="146">
        <v>0</v>
      </c>
      <c r="N39" s="146"/>
      <c r="O39" s="146"/>
      <c r="P39" s="146"/>
      <c r="Q39" s="146">
        <v>0</v>
      </c>
      <c r="R39" s="146"/>
      <c r="S39" s="146">
        <v>0</v>
      </c>
      <c r="T39" s="146"/>
      <c r="U39" s="146">
        <v>0</v>
      </c>
      <c r="V39" s="151">
        <v>0</v>
      </c>
      <c r="W39" s="153">
        <v>864</v>
      </c>
    </row>
    <row r="40" spans="2:23" ht="16.5" hidden="1">
      <c r="B40" s="10">
        <v>7</v>
      </c>
      <c r="C40" s="159">
        <f t="shared" si="0"/>
        <v>38</v>
      </c>
      <c r="D40" s="146"/>
      <c r="E40" s="146"/>
      <c r="F40" s="146"/>
      <c r="G40" s="146"/>
      <c r="H40" s="146"/>
      <c r="I40" s="146"/>
      <c r="J40" s="146"/>
      <c r="K40" s="146"/>
      <c r="L40" s="146"/>
      <c r="M40" s="146">
        <v>0</v>
      </c>
      <c r="N40" s="146"/>
      <c r="O40" s="146"/>
      <c r="P40" s="146"/>
      <c r="Q40" s="146">
        <v>0</v>
      </c>
      <c r="R40" s="146"/>
      <c r="S40" s="146">
        <v>0</v>
      </c>
      <c r="T40" s="146"/>
      <c r="U40" s="146">
        <v>2</v>
      </c>
      <c r="V40" s="151">
        <v>36</v>
      </c>
      <c r="W40" s="153">
        <v>660</v>
      </c>
    </row>
    <row r="41" spans="2:23" ht="16.5" hidden="1">
      <c r="B41" s="10">
        <v>8</v>
      </c>
      <c r="C41" s="159">
        <f t="shared" si="0"/>
        <v>96.5</v>
      </c>
      <c r="D41" s="146"/>
      <c r="E41" s="146"/>
      <c r="F41" s="146"/>
      <c r="G41" s="146"/>
      <c r="H41" s="146"/>
      <c r="I41" s="146"/>
      <c r="J41" s="146"/>
      <c r="K41" s="146"/>
      <c r="L41" s="146"/>
      <c r="M41" s="146">
        <v>0</v>
      </c>
      <c r="N41" s="146"/>
      <c r="O41" s="146"/>
      <c r="P41" s="146"/>
      <c r="Q41" s="146">
        <v>3</v>
      </c>
      <c r="R41" s="146"/>
      <c r="S41" s="146">
        <v>50</v>
      </c>
      <c r="T41" s="146"/>
      <c r="U41" s="146">
        <v>6</v>
      </c>
      <c r="V41" s="151">
        <v>37.5</v>
      </c>
      <c r="W41" s="153">
        <v>480</v>
      </c>
    </row>
    <row r="42" spans="2:23" ht="16.5" hidden="1">
      <c r="B42" s="10">
        <v>9</v>
      </c>
      <c r="C42" s="159">
        <f t="shared" si="0"/>
        <v>88</v>
      </c>
      <c r="D42" s="146"/>
      <c r="E42" s="146"/>
      <c r="F42" s="146"/>
      <c r="G42" s="146"/>
      <c r="H42" s="146"/>
      <c r="I42" s="146"/>
      <c r="J42" s="146"/>
      <c r="K42" s="146"/>
      <c r="L42" s="146"/>
      <c r="M42" s="146">
        <v>0</v>
      </c>
      <c r="N42" s="146"/>
      <c r="O42" s="146"/>
      <c r="P42" s="146"/>
      <c r="Q42" s="146">
        <v>10</v>
      </c>
      <c r="R42" s="146"/>
      <c r="S42" s="146">
        <v>0</v>
      </c>
      <c r="T42" s="146"/>
      <c r="U42" s="146">
        <v>5</v>
      </c>
      <c r="V42" s="151">
        <v>73</v>
      </c>
      <c r="W42" s="153">
        <v>1368</v>
      </c>
    </row>
    <row r="43" spans="2:23" ht="16.5" hidden="1">
      <c r="B43" s="10">
        <v>10</v>
      </c>
      <c r="C43" s="159">
        <f t="shared" si="0"/>
        <v>114.5</v>
      </c>
      <c r="D43" s="146"/>
      <c r="E43" s="146"/>
      <c r="F43" s="146"/>
      <c r="G43" s="146"/>
      <c r="H43" s="146"/>
      <c r="I43" s="146"/>
      <c r="J43" s="146"/>
      <c r="K43" s="146"/>
      <c r="L43" s="146"/>
      <c r="M43" s="146">
        <v>0</v>
      </c>
      <c r="N43" s="146"/>
      <c r="O43" s="146"/>
      <c r="P43" s="146"/>
      <c r="Q43" s="146">
        <v>12</v>
      </c>
      <c r="R43" s="146"/>
      <c r="S43" s="146">
        <v>65</v>
      </c>
      <c r="T43" s="146"/>
      <c r="U43" s="146">
        <v>6</v>
      </c>
      <c r="V43" s="151">
        <v>31.5</v>
      </c>
      <c r="W43" s="153">
        <v>1440</v>
      </c>
    </row>
    <row r="44" spans="2:23" ht="16.5" hidden="1">
      <c r="B44" s="10">
        <v>11</v>
      </c>
      <c r="C44" s="159">
        <f>SUM(D44:W44)</f>
        <v>1492.25</v>
      </c>
      <c r="D44" s="146"/>
      <c r="E44" s="146"/>
      <c r="F44" s="146"/>
      <c r="G44" s="146"/>
      <c r="H44" s="146"/>
      <c r="I44" s="146"/>
      <c r="J44" s="146"/>
      <c r="K44" s="146"/>
      <c r="L44" s="146"/>
      <c r="M44" s="146">
        <v>0</v>
      </c>
      <c r="N44" s="146"/>
      <c r="O44" s="146"/>
      <c r="P44" s="146"/>
      <c r="Q44" s="146">
        <v>4</v>
      </c>
      <c r="R44" s="146"/>
      <c r="S44" s="146">
        <v>55</v>
      </c>
      <c r="T44" s="146"/>
      <c r="U44" s="146">
        <v>6</v>
      </c>
      <c r="V44" s="151">
        <v>47.25</v>
      </c>
      <c r="W44" s="153">
        <v>1380</v>
      </c>
    </row>
    <row r="45" spans="2:23" ht="17.25" hidden="1" thickBot="1">
      <c r="B45" s="134">
        <v>12</v>
      </c>
      <c r="C45" s="160">
        <f>SUM(D45:W45)</f>
        <v>1380</v>
      </c>
      <c r="D45" s="148"/>
      <c r="E45" s="148"/>
      <c r="F45" s="148"/>
      <c r="G45" s="148"/>
      <c r="H45" s="148"/>
      <c r="I45" s="148"/>
      <c r="J45" s="148"/>
      <c r="K45" s="148"/>
      <c r="L45" s="148"/>
      <c r="M45" s="148">
        <v>0</v>
      </c>
      <c r="N45" s="148"/>
      <c r="O45" s="148"/>
      <c r="P45" s="148"/>
      <c r="Q45" s="148">
        <v>0</v>
      </c>
      <c r="R45" s="148"/>
      <c r="S45" s="148">
        <v>0</v>
      </c>
      <c r="T45" s="148"/>
      <c r="U45" s="148">
        <v>0</v>
      </c>
      <c r="V45" s="157">
        <v>0</v>
      </c>
      <c r="W45" s="156">
        <v>1380</v>
      </c>
    </row>
    <row r="46" spans="2:23" ht="19.5" customHeight="1" hidden="1">
      <c r="B46" s="33">
        <v>101.1</v>
      </c>
      <c r="C46" s="158">
        <f aca="true" t="shared" si="1" ref="C46:C57">SUM(D46:W46)</f>
        <v>161.5</v>
      </c>
      <c r="D46" s="151"/>
      <c r="E46" s="151"/>
      <c r="F46" s="151"/>
      <c r="G46" s="151"/>
      <c r="H46" s="151"/>
      <c r="I46" s="151"/>
      <c r="J46" s="151"/>
      <c r="K46" s="151"/>
      <c r="L46" s="151"/>
      <c r="M46" s="151">
        <v>0</v>
      </c>
      <c r="N46" s="151"/>
      <c r="O46" s="151"/>
      <c r="P46" s="151"/>
      <c r="Q46" s="151">
        <v>10</v>
      </c>
      <c r="R46" s="151"/>
      <c r="S46" s="151">
        <v>0</v>
      </c>
      <c r="T46" s="151"/>
      <c r="U46" s="151">
        <v>3</v>
      </c>
      <c r="V46" s="151">
        <v>68.5</v>
      </c>
      <c r="W46" s="153">
        <v>80</v>
      </c>
    </row>
    <row r="47" spans="2:23" ht="16.5" hidden="1">
      <c r="B47" s="10">
        <v>2</v>
      </c>
      <c r="C47" s="159">
        <f t="shared" si="1"/>
        <v>764.5</v>
      </c>
      <c r="D47" s="146"/>
      <c r="E47" s="146"/>
      <c r="F47" s="146"/>
      <c r="G47" s="146"/>
      <c r="H47" s="146"/>
      <c r="I47" s="146"/>
      <c r="J47" s="146"/>
      <c r="K47" s="146"/>
      <c r="L47" s="146"/>
      <c r="M47" s="146">
        <v>0</v>
      </c>
      <c r="N47" s="146"/>
      <c r="O47" s="146"/>
      <c r="P47" s="146"/>
      <c r="Q47" s="146">
        <v>6</v>
      </c>
      <c r="R47" s="146"/>
      <c r="S47" s="146">
        <v>0</v>
      </c>
      <c r="T47" s="146"/>
      <c r="U47" s="146">
        <v>4</v>
      </c>
      <c r="V47" s="151">
        <v>34.5</v>
      </c>
      <c r="W47" s="153">
        <v>720</v>
      </c>
    </row>
    <row r="48" spans="2:23" ht="16.5" hidden="1">
      <c r="B48" s="10">
        <v>3</v>
      </c>
      <c r="C48" s="159">
        <f t="shared" si="1"/>
        <v>1560</v>
      </c>
      <c r="D48" s="146"/>
      <c r="E48" s="146"/>
      <c r="F48" s="146"/>
      <c r="G48" s="146"/>
      <c r="H48" s="146"/>
      <c r="I48" s="146"/>
      <c r="J48" s="146"/>
      <c r="K48" s="146"/>
      <c r="L48" s="146"/>
      <c r="M48" s="146">
        <v>0</v>
      </c>
      <c r="N48" s="146"/>
      <c r="O48" s="146"/>
      <c r="P48" s="146"/>
      <c r="Q48" s="146">
        <v>0</v>
      </c>
      <c r="R48" s="146"/>
      <c r="S48" s="146">
        <v>0</v>
      </c>
      <c r="T48" s="146"/>
      <c r="U48" s="146">
        <v>0</v>
      </c>
      <c r="V48" s="151">
        <v>0</v>
      </c>
      <c r="W48" s="153">
        <v>1560</v>
      </c>
    </row>
    <row r="49" spans="2:23" ht="16.5" hidden="1">
      <c r="B49" s="10">
        <v>4</v>
      </c>
      <c r="C49" s="159">
        <f t="shared" si="1"/>
        <v>1300.5</v>
      </c>
      <c r="D49" s="146"/>
      <c r="E49" s="146"/>
      <c r="F49" s="146"/>
      <c r="G49" s="146"/>
      <c r="H49" s="146"/>
      <c r="I49" s="146"/>
      <c r="J49" s="146"/>
      <c r="K49" s="146"/>
      <c r="L49" s="146"/>
      <c r="M49" s="146">
        <v>0</v>
      </c>
      <c r="N49" s="146"/>
      <c r="O49" s="146"/>
      <c r="P49" s="146"/>
      <c r="Q49" s="146">
        <v>18</v>
      </c>
      <c r="R49" s="146"/>
      <c r="S49" s="146">
        <v>50</v>
      </c>
      <c r="T49" s="146"/>
      <c r="U49" s="146">
        <v>8</v>
      </c>
      <c r="V49" s="151">
        <v>84.5</v>
      </c>
      <c r="W49" s="153">
        <v>1140</v>
      </c>
    </row>
    <row r="50" spans="2:23" ht="16.5" hidden="1">
      <c r="B50" s="10">
        <v>5</v>
      </c>
      <c r="C50" s="159">
        <f t="shared" si="1"/>
        <v>1660</v>
      </c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51"/>
      <c r="W50" s="153">
        <v>1660</v>
      </c>
    </row>
    <row r="51" spans="2:23" ht="16.5" hidden="1">
      <c r="B51" s="10">
        <v>6</v>
      </c>
      <c r="C51" s="159">
        <f t="shared" si="1"/>
        <v>950</v>
      </c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51"/>
      <c r="W51" s="153">
        <v>950</v>
      </c>
    </row>
    <row r="52" spans="2:23" ht="16.5" hidden="1">
      <c r="B52" s="10">
        <v>7</v>
      </c>
      <c r="C52" s="159">
        <f t="shared" si="1"/>
        <v>733</v>
      </c>
      <c r="D52" s="146"/>
      <c r="E52" s="146"/>
      <c r="F52" s="146"/>
      <c r="G52" s="146"/>
      <c r="H52" s="146"/>
      <c r="I52" s="146"/>
      <c r="J52" s="146"/>
      <c r="K52" s="146"/>
      <c r="L52" s="146"/>
      <c r="M52" s="146">
        <v>0</v>
      </c>
      <c r="N52" s="146"/>
      <c r="O52" s="146"/>
      <c r="P52" s="146"/>
      <c r="Q52" s="146">
        <v>6</v>
      </c>
      <c r="R52" s="146"/>
      <c r="S52" s="146">
        <v>60</v>
      </c>
      <c r="T52" s="146"/>
      <c r="U52" s="146">
        <v>4</v>
      </c>
      <c r="V52" s="151">
        <v>63</v>
      </c>
      <c r="W52" s="153">
        <v>600</v>
      </c>
    </row>
    <row r="53" spans="2:23" ht="16.5" hidden="1">
      <c r="B53" s="10">
        <v>8</v>
      </c>
      <c r="C53" s="159">
        <f t="shared" si="1"/>
        <v>100</v>
      </c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51"/>
      <c r="W53" s="153">
        <v>100</v>
      </c>
    </row>
    <row r="54" spans="2:23" ht="16.5" hidden="1">
      <c r="B54" s="10">
        <v>9</v>
      </c>
      <c r="C54" s="159">
        <f t="shared" si="1"/>
        <v>1138</v>
      </c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>
        <v>1</v>
      </c>
      <c r="V54" s="151">
        <f>5+8+4+2+9+2+3+7+3+4+4+2+2+2</f>
        <v>57</v>
      </c>
      <c r="W54" s="153">
        <v>1080</v>
      </c>
    </row>
    <row r="55" spans="2:23" ht="16.5" hidden="1">
      <c r="B55" s="10">
        <v>10</v>
      </c>
      <c r="C55" s="159">
        <f t="shared" si="1"/>
        <v>0</v>
      </c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51"/>
      <c r="W55" s="153"/>
    </row>
    <row r="56" spans="2:23" ht="16.5" hidden="1">
      <c r="B56" s="10">
        <v>11</v>
      </c>
      <c r="C56" s="159">
        <f t="shared" si="1"/>
        <v>1440</v>
      </c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51"/>
      <c r="W56" s="153">
        <v>1440</v>
      </c>
    </row>
    <row r="57" spans="2:23" ht="17.25" hidden="1" thickBot="1">
      <c r="B57" s="134">
        <v>12</v>
      </c>
      <c r="C57" s="160">
        <f t="shared" si="1"/>
        <v>0</v>
      </c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57"/>
      <c r="W57" s="156"/>
    </row>
    <row r="58" spans="2:23" ht="17.25" hidden="1" thickTop="1">
      <c r="B58" s="33">
        <v>102.1</v>
      </c>
      <c r="C58" s="158">
        <f aca="true" t="shared" si="2" ref="C58:C105">SUM(D58:W58)</f>
        <v>0</v>
      </c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3"/>
    </row>
    <row r="59" spans="2:23" ht="16.5" hidden="1">
      <c r="B59" s="10">
        <v>2</v>
      </c>
      <c r="C59" s="159">
        <f t="shared" si="2"/>
        <v>0</v>
      </c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51"/>
      <c r="W59" s="153"/>
    </row>
    <row r="60" spans="2:23" ht="16.5" hidden="1">
      <c r="B60" s="10">
        <v>3</v>
      </c>
      <c r="C60" s="159">
        <f t="shared" si="2"/>
        <v>900</v>
      </c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51"/>
      <c r="W60" s="153">
        <v>900</v>
      </c>
    </row>
    <row r="61" spans="2:23" ht="16.5" hidden="1">
      <c r="B61" s="10">
        <v>4</v>
      </c>
      <c r="C61" s="159">
        <f t="shared" si="2"/>
        <v>0</v>
      </c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51"/>
      <c r="W61" s="153"/>
    </row>
    <row r="62" spans="2:23" ht="16.5" hidden="1">
      <c r="B62" s="10">
        <v>5</v>
      </c>
      <c r="C62" s="159">
        <f t="shared" si="2"/>
        <v>1646</v>
      </c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51"/>
      <c r="W62" s="153">
        <f>1620+26</f>
        <v>1646</v>
      </c>
    </row>
    <row r="63" spans="2:23" ht="16.5" hidden="1">
      <c r="B63" s="10">
        <v>6</v>
      </c>
      <c r="C63" s="159">
        <f t="shared" si="2"/>
        <v>1830.8</v>
      </c>
      <c r="D63" s="146"/>
      <c r="E63" s="146"/>
      <c r="F63" s="146"/>
      <c r="G63" s="146"/>
      <c r="H63" s="146"/>
      <c r="I63" s="146"/>
      <c r="J63" s="146"/>
      <c r="K63" s="146"/>
      <c r="L63" s="146"/>
      <c r="M63" s="146">
        <v>1.8</v>
      </c>
      <c r="N63" s="146"/>
      <c r="O63" s="146"/>
      <c r="P63" s="146"/>
      <c r="Q63" s="146"/>
      <c r="R63" s="146">
        <v>3</v>
      </c>
      <c r="S63" s="146"/>
      <c r="T63" s="146"/>
      <c r="U63" s="146">
        <v>2</v>
      </c>
      <c r="V63" s="151">
        <f>110*0.5</f>
        <v>55</v>
      </c>
      <c r="W63" s="153">
        <v>1769</v>
      </c>
    </row>
    <row r="64" spans="2:23" ht="16.5" hidden="1">
      <c r="B64" s="10">
        <v>7</v>
      </c>
      <c r="C64" s="159">
        <f t="shared" si="2"/>
        <v>158</v>
      </c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51"/>
      <c r="W64" s="153">
        <f>150+8</f>
        <v>158</v>
      </c>
    </row>
    <row r="65" spans="2:23" ht="16.5" hidden="1">
      <c r="B65" s="10">
        <v>8</v>
      </c>
      <c r="C65" s="159">
        <f t="shared" si="2"/>
        <v>126</v>
      </c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51"/>
      <c r="W65" s="153">
        <f>120+6</f>
        <v>126</v>
      </c>
    </row>
    <row r="66" spans="2:23" ht="16.5" hidden="1">
      <c r="B66" s="10">
        <v>9</v>
      </c>
      <c r="C66" s="159">
        <f t="shared" si="2"/>
        <v>546</v>
      </c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51"/>
      <c r="W66" s="153">
        <f>540+6</f>
        <v>546</v>
      </c>
    </row>
    <row r="67" spans="2:23" ht="16.5" hidden="1">
      <c r="B67" s="10">
        <v>10</v>
      </c>
      <c r="C67" s="159">
        <f t="shared" si="2"/>
        <v>1580</v>
      </c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51"/>
      <c r="W67" s="153">
        <v>1580</v>
      </c>
    </row>
    <row r="68" spans="2:23" ht="16.5" hidden="1">
      <c r="B68" s="10">
        <v>11</v>
      </c>
      <c r="C68" s="159">
        <f t="shared" si="2"/>
        <v>1464</v>
      </c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51"/>
      <c r="W68" s="153">
        <v>1464</v>
      </c>
    </row>
    <row r="69" spans="2:23" ht="16.5" hidden="1">
      <c r="B69" s="192">
        <v>12</v>
      </c>
      <c r="C69" s="159">
        <f t="shared" si="2"/>
        <v>0</v>
      </c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93"/>
      <c r="W69" s="194"/>
    </row>
    <row r="70" spans="2:23" ht="16.5">
      <c r="B70" s="196">
        <v>103.1</v>
      </c>
      <c r="C70" s="159">
        <f t="shared" si="2"/>
        <v>913</v>
      </c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51"/>
      <c r="W70" s="175">
        <v>913</v>
      </c>
    </row>
    <row r="71" spans="2:23" ht="16.5">
      <c r="B71" s="191">
        <v>2</v>
      </c>
      <c r="C71" s="159">
        <f t="shared" si="2"/>
        <v>730</v>
      </c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51"/>
      <c r="W71" s="175">
        <v>730</v>
      </c>
    </row>
    <row r="72" spans="2:23" ht="16.5">
      <c r="B72" s="191">
        <v>3</v>
      </c>
      <c r="C72" s="159">
        <f t="shared" si="2"/>
        <v>1347</v>
      </c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51"/>
      <c r="W72" s="175">
        <v>1347</v>
      </c>
    </row>
    <row r="73" spans="2:23" ht="16.5">
      <c r="B73" s="191">
        <v>4</v>
      </c>
      <c r="C73" s="159">
        <f t="shared" si="2"/>
        <v>1280</v>
      </c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51"/>
      <c r="W73" s="175">
        <f>1260+20</f>
        <v>1280</v>
      </c>
    </row>
    <row r="74" spans="2:23" ht="16.5">
      <c r="B74" s="191">
        <v>5</v>
      </c>
      <c r="C74" s="159">
        <f t="shared" si="2"/>
        <v>0</v>
      </c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51"/>
      <c r="W74" s="175"/>
    </row>
    <row r="75" spans="2:23" ht="16.5">
      <c r="B75" s="191">
        <v>6</v>
      </c>
      <c r="C75" s="159">
        <f t="shared" si="2"/>
        <v>0</v>
      </c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51"/>
      <c r="W75" s="175"/>
    </row>
    <row r="76" spans="2:23" ht="16.5">
      <c r="B76" s="191">
        <v>7</v>
      </c>
      <c r="C76" s="159">
        <f t="shared" si="2"/>
        <v>0</v>
      </c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51"/>
      <c r="W76" s="175"/>
    </row>
    <row r="77" spans="2:23" ht="16.5">
      <c r="B77" s="191">
        <v>8</v>
      </c>
      <c r="C77" s="159">
        <f t="shared" si="2"/>
        <v>0</v>
      </c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51"/>
      <c r="W77" s="175"/>
    </row>
    <row r="78" spans="2:23" ht="16.5">
      <c r="B78" s="191">
        <v>9</v>
      </c>
      <c r="C78" s="159">
        <f t="shared" si="2"/>
        <v>875</v>
      </c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51"/>
      <c r="W78" s="175">
        <v>875</v>
      </c>
    </row>
    <row r="79" spans="2:23" ht="16.5">
      <c r="B79" s="191">
        <v>10</v>
      </c>
      <c r="C79" s="159">
        <f t="shared" si="2"/>
        <v>0</v>
      </c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51"/>
      <c r="W79" s="175"/>
    </row>
    <row r="80" spans="2:23" ht="16.5">
      <c r="B80" s="191">
        <v>11</v>
      </c>
      <c r="C80" s="159">
        <f t="shared" si="2"/>
        <v>0</v>
      </c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51"/>
      <c r="W80" s="175"/>
    </row>
    <row r="81" spans="2:23" ht="16.5">
      <c r="B81" s="195">
        <v>12</v>
      </c>
      <c r="C81" s="159">
        <f t="shared" si="2"/>
        <v>0</v>
      </c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51"/>
      <c r="W81" s="175"/>
    </row>
    <row r="82" spans="2:23" ht="16.5">
      <c r="B82" s="195">
        <v>104.1</v>
      </c>
      <c r="C82" s="159">
        <f t="shared" si="2"/>
        <v>0</v>
      </c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51"/>
      <c r="W82" s="175"/>
    </row>
    <row r="83" spans="2:23" ht="16.5">
      <c r="B83" s="195">
        <v>2</v>
      </c>
      <c r="C83" s="159">
        <f t="shared" si="2"/>
        <v>0</v>
      </c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51"/>
      <c r="W83" s="175"/>
    </row>
    <row r="84" spans="2:23" ht="16.5">
      <c r="B84" s="195">
        <v>3</v>
      </c>
      <c r="C84" s="159">
        <f t="shared" si="2"/>
        <v>0</v>
      </c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51"/>
      <c r="W84" s="175"/>
    </row>
    <row r="85" spans="2:23" ht="16.5">
      <c r="B85" s="195">
        <v>4</v>
      </c>
      <c r="C85" s="159">
        <f t="shared" si="2"/>
        <v>0</v>
      </c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51"/>
      <c r="W85" s="175"/>
    </row>
    <row r="86" spans="2:23" ht="16.5">
      <c r="B86" s="195">
        <v>5</v>
      </c>
      <c r="C86" s="159">
        <f t="shared" si="2"/>
        <v>0</v>
      </c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51"/>
      <c r="W86" s="175"/>
    </row>
    <row r="87" spans="2:23" ht="16.5">
      <c r="B87" s="195">
        <v>6</v>
      </c>
      <c r="C87" s="159">
        <f t="shared" si="2"/>
        <v>0</v>
      </c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51"/>
      <c r="W87" s="175"/>
    </row>
    <row r="88" spans="2:23" ht="16.5">
      <c r="B88" s="195">
        <v>7</v>
      </c>
      <c r="C88" s="159">
        <f t="shared" si="2"/>
        <v>0</v>
      </c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51"/>
      <c r="W88" s="175"/>
    </row>
    <row r="89" spans="2:23" ht="16.5">
      <c r="B89" s="195">
        <v>8</v>
      </c>
      <c r="C89" s="159">
        <f t="shared" si="2"/>
        <v>0</v>
      </c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51"/>
      <c r="W89" s="175"/>
    </row>
    <row r="90" spans="2:23" ht="16.5">
      <c r="B90" s="195">
        <v>9</v>
      </c>
      <c r="C90" s="159">
        <f t="shared" si="2"/>
        <v>0</v>
      </c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51"/>
      <c r="W90" s="175"/>
    </row>
    <row r="91" spans="2:23" ht="16.5">
      <c r="B91" s="195">
        <v>10</v>
      </c>
      <c r="C91" s="159">
        <f t="shared" si="2"/>
        <v>0</v>
      </c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51"/>
      <c r="W91" s="175"/>
    </row>
    <row r="92" spans="2:23" ht="16.5">
      <c r="B92" s="195">
        <v>11</v>
      </c>
      <c r="C92" s="159">
        <f t="shared" si="2"/>
        <v>0</v>
      </c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51"/>
      <c r="W92" s="175"/>
    </row>
    <row r="93" spans="2:23" ht="16.5">
      <c r="B93" s="195">
        <v>12</v>
      </c>
      <c r="C93" s="159">
        <f t="shared" si="2"/>
        <v>0</v>
      </c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51"/>
      <c r="W93" s="175"/>
    </row>
    <row r="94" spans="2:23" ht="16.5">
      <c r="B94" s="195">
        <v>105.1</v>
      </c>
      <c r="C94" s="159">
        <f t="shared" si="2"/>
        <v>0</v>
      </c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51"/>
      <c r="W94" s="175"/>
    </row>
    <row r="95" spans="2:23" ht="16.5">
      <c r="B95" s="195">
        <v>2</v>
      </c>
      <c r="C95" s="159">
        <f t="shared" si="2"/>
        <v>0</v>
      </c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51"/>
      <c r="W95" s="175"/>
    </row>
    <row r="96" spans="2:23" ht="16.5">
      <c r="B96" s="195">
        <v>3</v>
      </c>
      <c r="C96" s="159">
        <f t="shared" si="2"/>
        <v>0</v>
      </c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51"/>
      <c r="W96" s="175"/>
    </row>
    <row r="97" spans="2:23" ht="16.5">
      <c r="B97" s="195">
        <v>4</v>
      </c>
      <c r="C97" s="159">
        <f t="shared" si="2"/>
        <v>0</v>
      </c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51"/>
      <c r="W97" s="175"/>
    </row>
    <row r="98" spans="2:23" ht="16.5">
      <c r="B98" s="195">
        <v>5</v>
      </c>
      <c r="C98" s="159">
        <f t="shared" si="2"/>
        <v>0</v>
      </c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51"/>
      <c r="W98" s="175"/>
    </row>
    <row r="99" spans="2:23" ht="16.5">
      <c r="B99" s="195">
        <v>6</v>
      </c>
      <c r="C99" s="159">
        <f t="shared" si="2"/>
        <v>0</v>
      </c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51"/>
      <c r="W99" s="175"/>
    </row>
    <row r="100" spans="2:23" ht="16.5">
      <c r="B100" s="195">
        <v>7</v>
      </c>
      <c r="C100" s="159">
        <f t="shared" si="2"/>
        <v>0</v>
      </c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51"/>
      <c r="W100" s="175"/>
    </row>
    <row r="101" spans="2:23" ht="16.5">
      <c r="B101" s="195">
        <v>8</v>
      </c>
      <c r="C101" s="159">
        <f t="shared" si="2"/>
        <v>0</v>
      </c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51"/>
      <c r="W101" s="175"/>
    </row>
    <row r="102" spans="2:23" ht="16.5">
      <c r="B102" s="195">
        <v>9</v>
      </c>
      <c r="C102" s="159">
        <f t="shared" si="2"/>
        <v>0</v>
      </c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51"/>
      <c r="W102" s="175"/>
    </row>
    <row r="103" spans="2:23" ht="16.5">
      <c r="B103" s="195">
        <v>10</v>
      </c>
      <c r="C103" s="159">
        <f t="shared" si="2"/>
        <v>0</v>
      </c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51"/>
      <c r="W103" s="175"/>
    </row>
    <row r="104" spans="2:23" ht="16.5">
      <c r="B104" s="195">
        <v>11</v>
      </c>
      <c r="C104" s="159">
        <f t="shared" si="2"/>
        <v>0</v>
      </c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51"/>
      <c r="W104" s="175"/>
    </row>
    <row r="105" spans="2:23" ht="16.5">
      <c r="B105" s="195">
        <v>12</v>
      </c>
      <c r="C105" s="159">
        <f t="shared" si="2"/>
        <v>0</v>
      </c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51"/>
      <c r="W105" s="17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</sheetPr>
  <dimension ref="B1:Y177"/>
  <sheetViews>
    <sheetView zoomScalePageLayoutView="0" workbookViewId="0" topLeftCell="A1">
      <pane ySplit="2" topLeftCell="A136" activePane="bottomLeft" state="frozen"/>
      <selection pane="topLeft" activeCell="K15" sqref="K15"/>
      <selection pane="bottomLeft" activeCell="E154" sqref="E154"/>
    </sheetView>
  </sheetViews>
  <sheetFormatPr defaultColWidth="8.875" defaultRowHeight="16.5"/>
  <cols>
    <col min="1" max="1" width="5.00390625" style="4" customWidth="1"/>
    <col min="2" max="2" width="6.25390625" style="4" customWidth="1"/>
    <col min="3" max="3" width="6.875" style="4" customWidth="1"/>
    <col min="4" max="4" width="6.75390625" style="241" customWidth="1"/>
    <col min="5" max="5" width="10.375" style="241" customWidth="1"/>
    <col min="6" max="23" width="5.75390625" style="241" customWidth="1"/>
    <col min="24" max="16384" width="8.875" style="4" customWidth="1"/>
  </cols>
  <sheetData>
    <row r="1" spans="4:23" s="69" customFormat="1" ht="11.25" thickBot="1">
      <c r="D1" s="207">
        <v>1</v>
      </c>
      <c r="E1" s="207">
        <v>2</v>
      </c>
      <c r="F1" s="207">
        <v>3</v>
      </c>
      <c r="G1" s="207">
        <v>4</v>
      </c>
      <c r="H1" s="207">
        <v>5</v>
      </c>
      <c r="I1" s="207">
        <v>6</v>
      </c>
      <c r="J1" s="207">
        <v>7</v>
      </c>
      <c r="K1" s="207">
        <v>8</v>
      </c>
      <c r="L1" s="207">
        <v>9</v>
      </c>
      <c r="M1" s="207">
        <v>0</v>
      </c>
      <c r="N1" s="207">
        <v>1</v>
      </c>
      <c r="O1" s="207">
        <v>2</v>
      </c>
      <c r="P1" s="207">
        <v>3</v>
      </c>
      <c r="Q1" s="207">
        <v>4</v>
      </c>
      <c r="R1" s="207">
        <v>5</v>
      </c>
      <c r="S1" s="207">
        <v>6</v>
      </c>
      <c r="T1" s="207">
        <v>7</v>
      </c>
      <c r="U1" s="207">
        <v>8</v>
      </c>
      <c r="V1" s="207">
        <v>9</v>
      </c>
      <c r="W1" s="207">
        <v>0</v>
      </c>
    </row>
    <row r="2" spans="2:23" ht="63.75" thickTop="1">
      <c r="B2" s="242" t="s">
        <v>56</v>
      </c>
      <c r="C2" s="132" t="s">
        <v>46</v>
      </c>
      <c r="D2" s="24" t="s">
        <v>32</v>
      </c>
      <c r="E2" s="25" t="s">
        <v>44</v>
      </c>
      <c r="F2" s="25" t="s">
        <v>43</v>
      </c>
      <c r="G2" s="25" t="s">
        <v>42</v>
      </c>
      <c r="H2" s="26" t="s">
        <v>5</v>
      </c>
      <c r="I2" s="27" t="s">
        <v>36</v>
      </c>
      <c r="J2" s="27" t="s">
        <v>7</v>
      </c>
      <c r="K2" s="27" t="s">
        <v>8</v>
      </c>
      <c r="L2" s="27" t="s">
        <v>38</v>
      </c>
      <c r="M2" s="25" t="s">
        <v>39</v>
      </c>
      <c r="N2" s="25" t="s">
        <v>40</v>
      </c>
      <c r="O2" s="27" t="s">
        <v>41</v>
      </c>
      <c r="P2" s="25" t="s">
        <v>68</v>
      </c>
      <c r="Q2" s="25" t="s">
        <v>34</v>
      </c>
      <c r="R2" s="25" t="s">
        <v>35</v>
      </c>
      <c r="S2" s="27" t="s">
        <v>16</v>
      </c>
      <c r="T2" s="28" t="s">
        <v>37</v>
      </c>
      <c r="U2" s="25" t="s">
        <v>17</v>
      </c>
      <c r="V2" s="28" t="s">
        <v>28</v>
      </c>
      <c r="W2" s="29" t="s">
        <v>45</v>
      </c>
    </row>
    <row r="3" spans="2:23" s="209" customFormat="1" ht="13.5" customHeight="1" hidden="1">
      <c r="B3" s="243" t="s">
        <v>58</v>
      </c>
      <c r="C3" s="211">
        <v>6</v>
      </c>
      <c r="D3" s="20">
        <f>SUM(E3:W3)</f>
        <v>0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2"/>
    </row>
    <row r="4" spans="2:23" s="217" customFormat="1" ht="19.5" customHeight="1" hidden="1">
      <c r="B4" s="244"/>
      <c r="C4" s="219">
        <v>7</v>
      </c>
      <c r="D4" s="44">
        <f>SUM(E4:W4)</f>
        <v>891</v>
      </c>
      <c r="E4" s="220">
        <v>365</v>
      </c>
      <c r="F4" s="220"/>
      <c r="G4" s="220">
        <v>76</v>
      </c>
      <c r="H4" s="220"/>
      <c r="I4" s="220"/>
      <c r="J4" s="220">
        <v>251</v>
      </c>
      <c r="K4" s="220"/>
      <c r="L4" s="220"/>
      <c r="M4" s="220"/>
      <c r="N4" s="220"/>
      <c r="O4" s="220"/>
      <c r="P4" s="220">
        <v>199</v>
      </c>
      <c r="Q4" s="220"/>
      <c r="R4" s="220"/>
      <c r="S4" s="220"/>
      <c r="T4" s="220"/>
      <c r="U4" s="220"/>
      <c r="V4" s="220"/>
      <c r="W4" s="221"/>
    </row>
    <row r="5" spans="2:23" s="212" customFormat="1" ht="19.5" customHeight="1" hidden="1">
      <c r="B5" s="245"/>
      <c r="C5" s="214">
        <v>8</v>
      </c>
      <c r="D5" s="18">
        <f aca="true" t="shared" si="0" ref="D5:D68">SUM(E5:W5)</f>
        <v>2045</v>
      </c>
      <c r="E5" s="215">
        <v>1390</v>
      </c>
      <c r="F5" s="215"/>
      <c r="G5" s="215">
        <v>200</v>
      </c>
      <c r="H5" s="215"/>
      <c r="I5" s="215"/>
      <c r="J5" s="215">
        <v>247</v>
      </c>
      <c r="K5" s="215"/>
      <c r="L5" s="215"/>
      <c r="M5" s="215"/>
      <c r="N5" s="215"/>
      <c r="O5" s="215"/>
      <c r="P5" s="215">
        <v>208</v>
      </c>
      <c r="Q5" s="215"/>
      <c r="R5" s="215"/>
      <c r="S5" s="215"/>
      <c r="T5" s="215"/>
      <c r="U5" s="215"/>
      <c r="V5" s="215"/>
      <c r="W5" s="216"/>
    </row>
    <row r="6" spans="2:23" s="212" customFormat="1" ht="19.5" customHeight="1" hidden="1">
      <c r="B6" s="245"/>
      <c r="C6" s="214">
        <v>9</v>
      </c>
      <c r="D6" s="18">
        <f t="shared" si="0"/>
        <v>3069</v>
      </c>
      <c r="E6" s="215">
        <v>1885</v>
      </c>
      <c r="F6" s="215"/>
      <c r="G6" s="215">
        <v>314</v>
      </c>
      <c r="H6" s="215"/>
      <c r="I6" s="215"/>
      <c r="J6" s="215">
        <v>396</v>
      </c>
      <c r="K6" s="215"/>
      <c r="L6" s="215"/>
      <c r="M6" s="215"/>
      <c r="N6" s="215"/>
      <c r="O6" s="215"/>
      <c r="P6" s="215">
        <v>474</v>
      </c>
      <c r="Q6" s="215"/>
      <c r="R6" s="215"/>
      <c r="S6" s="215"/>
      <c r="T6" s="215"/>
      <c r="U6" s="215"/>
      <c r="V6" s="215"/>
      <c r="W6" s="216"/>
    </row>
    <row r="7" spans="2:23" s="212" customFormat="1" ht="19.5" customHeight="1" hidden="1">
      <c r="B7" s="245"/>
      <c r="C7" s="214">
        <v>10</v>
      </c>
      <c r="D7" s="18">
        <f t="shared" si="0"/>
        <v>3188</v>
      </c>
      <c r="E7" s="215">
        <v>1905</v>
      </c>
      <c r="F7" s="215"/>
      <c r="G7" s="215">
        <v>339</v>
      </c>
      <c r="H7" s="215"/>
      <c r="I7" s="215"/>
      <c r="J7" s="215">
        <v>394</v>
      </c>
      <c r="K7" s="215"/>
      <c r="L7" s="215"/>
      <c r="M7" s="215"/>
      <c r="N7" s="215"/>
      <c r="O7" s="215"/>
      <c r="P7" s="215">
        <v>550</v>
      </c>
      <c r="Q7" s="215"/>
      <c r="R7" s="215"/>
      <c r="S7" s="215"/>
      <c r="T7" s="215"/>
      <c r="U7" s="215"/>
      <c r="V7" s="215"/>
      <c r="W7" s="216"/>
    </row>
    <row r="8" spans="2:23" s="212" customFormat="1" ht="19.5" customHeight="1" hidden="1">
      <c r="B8" s="245"/>
      <c r="C8" s="214">
        <v>11</v>
      </c>
      <c r="D8" s="18">
        <f t="shared" si="0"/>
        <v>4226</v>
      </c>
      <c r="E8" s="215">
        <v>1833</v>
      </c>
      <c r="F8" s="215"/>
      <c r="G8" s="215">
        <v>355</v>
      </c>
      <c r="H8" s="215"/>
      <c r="I8" s="215"/>
      <c r="J8" s="215">
        <v>372</v>
      </c>
      <c r="K8" s="215"/>
      <c r="L8" s="215"/>
      <c r="M8" s="215"/>
      <c r="N8" s="215"/>
      <c r="O8" s="215"/>
      <c r="P8" s="215">
        <v>1666</v>
      </c>
      <c r="Q8" s="215"/>
      <c r="R8" s="215"/>
      <c r="S8" s="215"/>
      <c r="T8" s="215"/>
      <c r="U8" s="215"/>
      <c r="V8" s="215"/>
      <c r="W8" s="216"/>
    </row>
    <row r="9" spans="2:23" s="212" customFormat="1" ht="19.5" customHeight="1" hidden="1">
      <c r="B9" s="245"/>
      <c r="C9" s="214">
        <v>12</v>
      </c>
      <c r="D9" s="18">
        <f t="shared" si="0"/>
        <v>3286</v>
      </c>
      <c r="E9" s="215">
        <v>2106</v>
      </c>
      <c r="F9" s="215"/>
      <c r="G9" s="215">
        <v>395</v>
      </c>
      <c r="H9" s="215"/>
      <c r="I9" s="215"/>
      <c r="J9" s="215">
        <v>371</v>
      </c>
      <c r="K9" s="215"/>
      <c r="L9" s="215"/>
      <c r="M9" s="215"/>
      <c r="N9" s="215"/>
      <c r="O9" s="215"/>
      <c r="P9" s="215">
        <v>414</v>
      </c>
      <c r="Q9" s="215"/>
      <c r="R9" s="215"/>
      <c r="S9" s="215"/>
      <c r="T9" s="215"/>
      <c r="U9" s="215"/>
      <c r="V9" s="215"/>
      <c r="W9" s="216"/>
    </row>
    <row r="10" spans="2:23" s="212" customFormat="1" ht="19.5" customHeight="1" hidden="1">
      <c r="B10" s="245" t="s">
        <v>57</v>
      </c>
      <c r="C10" s="214">
        <v>1</v>
      </c>
      <c r="D10" s="18">
        <f t="shared" si="0"/>
        <v>1588</v>
      </c>
      <c r="E10" s="215">
        <v>1001</v>
      </c>
      <c r="F10" s="215"/>
      <c r="G10" s="215">
        <v>179</v>
      </c>
      <c r="H10" s="215"/>
      <c r="I10" s="215"/>
      <c r="J10" s="215">
        <v>209</v>
      </c>
      <c r="K10" s="215"/>
      <c r="L10" s="215"/>
      <c r="M10" s="215"/>
      <c r="N10" s="215"/>
      <c r="O10" s="215"/>
      <c r="P10" s="215">
        <v>199</v>
      </c>
      <c r="Q10" s="215"/>
      <c r="R10" s="215"/>
      <c r="S10" s="215"/>
      <c r="T10" s="215"/>
      <c r="U10" s="215"/>
      <c r="V10" s="215"/>
      <c r="W10" s="216"/>
    </row>
    <row r="11" spans="2:23" s="212" customFormat="1" ht="19.5" customHeight="1" hidden="1">
      <c r="B11" s="245"/>
      <c r="C11" s="214">
        <v>2</v>
      </c>
      <c r="D11" s="18">
        <f t="shared" si="0"/>
        <v>1765</v>
      </c>
      <c r="E11" s="215">
        <v>1007</v>
      </c>
      <c r="F11" s="215"/>
      <c r="G11" s="215">
        <v>215</v>
      </c>
      <c r="H11" s="215"/>
      <c r="I11" s="215"/>
      <c r="J11" s="215">
        <v>251</v>
      </c>
      <c r="K11" s="215"/>
      <c r="L11" s="215"/>
      <c r="M11" s="215"/>
      <c r="N11" s="215"/>
      <c r="O11" s="215"/>
      <c r="P11" s="215">
        <v>292</v>
      </c>
      <c r="Q11" s="215"/>
      <c r="R11" s="215"/>
      <c r="S11" s="215"/>
      <c r="T11" s="215"/>
      <c r="U11" s="215"/>
      <c r="V11" s="215"/>
      <c r="W11" s="216"/>
    </row>
    <row r="12" spans="2:23" s="212" customFormat="1" ht="19.5" customHeight="1" hidden="1">
      <c r="B12" s="245"/>
      <c r="C12" s="214">
        <v>3</v>
      </c>
      <c r="D12" s="18">
        <f t="shared" si="0"/>
        <v>3225</v>
      </c>
      <c r="E12" s="215">
        <v>2258</v>
      </c>
      <c r="F12" s="215"/>
      <c r="G12" s="215">
        <v>241</v>
      </c>
      <c r="H12" s="215"/>
      <c r="I12" s="215"/>
      <c r="J12" s="215">
        <v>283</v>
      </c>
      <c r="K12" s="215"/>
      <c r="L12" s="215"/>
      <c r="M12" s="215"/>
      <c r="N12" s="215"/>
      <c r="O12" s="215"/>
      <c r="P12" s="215">
        <v>443</v>
      </c>
      <c r="Q12" s="215"/>
      <c r="R12" s="215"/>
      <c r="S12" s="215"/>
      <c r="T12" s="215"/>
      <c r="U12" s="215"/>
      <c r="V12" s="215"/>
      <c r="W12" s="216"/>
    </row>
    <row r="13" spans="2:23" s="212" customFormat="1" ht="19.5" customHeight="1" hidden="1">
      <c r="B13" s="245"/>
      <c r="C13" s="214">
        <v>4</v>
      </c>
      <c r="D13" s="18">
        <f t="shared" si="0"/>
        <v>2479</v>
      </c>
      <c r="E13" s="215">
        <v>1515</v>
      </c>
      <c r="F13" s="215"/>
      <c r="G13" s="215">
        <v>255</v>
      </c>
      <c r="H13" s="215"/>
      <c r="I13" s="215"/>
      <c r="J13" s="215">
        <v>318</v>
      </c>
      <c r="K13" s="215"/>
      <c r="L13" s="215"/>
      <c r="M13" s="215"/>
      <c r="N13" s="215"/>
      <c r="O13" s="215"/>
      <c r="P13" s="215">
        <v>391</v>
      </c>
      <c r="Q13" s="215"/>
      <c r="R13" s="215"/>
      <c r="S13" s="215"/>
      <c r="T13" s="215"/>
      <c r="U13" s="215"/>
      <c r="V13" s="215"/>
      <c r="W13" s="216"/>
    </row>
    <row r="14" spans="2:23" s="217" customFormat="1" ht="19.5" customHeight="1" hidden="1">
      <c r="B14" s="244"/>
      <c r="C14" s="219">
        <v>5</v>
      </c>
      <c r="D14" s="79">
        <f t="shared" si="0"/>
        <v>2259</v>
      </c>
      <c r="E14" s="220">
        <v>1476</v>
      </c>
      <c r="F14" s="220"/>
      <c r="G14" s="220">
        <v>233</v>
      </c>
      <c r="H14" s="220"/>
      <c r="I14" s="220"/>
      <c r="J14" s="220">
        <v>273</v>
      </c>
      <c r="K14" s="220"/>
      <c r="L14" s="220"/>
      <c r="M14" s="220"/>
      <c r="N14" s="220"/>
      <c r="O14" s="220"/>
      <c r="P14" s="220">
        <v>277</v>
      </c>
      <c r="Q14" s="220"/>
      <c r="R14" s="220"/>
      <c r="S14" s="220"/>
      <c r="T14" s="220"/>
      <c r="U14" s="220"/>
      <c r="V14" s="220"/>
      <c r="W14" s="221"/>
    </row>
    <row r="15" spans="2:23" ht="19.5" customHeight="1" hidden="1">
      <c r="B15" s="191"/>
      <c r="C15" s="185">
        <v>6</v>
      </c>
      <c r="D15" s="11">
        <f t="shared" si="0"/>
        <v>2317</v>
      </c>
      <c r="E15" s="215">
        <v>1589</v>
      </c>
      <c r="F15" s="215"/>
      <c r="G15" s="215">
        <v>227</v>
      </c>
      <c r="H15" s="215"/>
      <c r="I15" s="215"/>
      <c r="J15" s="215">
        <v>288</v>
      </c>
      <c r="K15" s="215"/>
      <c r="L15" s="215"/>
      <c r="M15" s="215"/>
      <c r="N15" s="215"/>
      <c r="O15" s="215"/>
      <c r="P15" s="215">
        <v>213</v>
      </c>
      <c r="Q15" s="215"/>
      <c r="R15" s="215"/>
      <c r="S15" s="215"/>
      <c r="T15" s="215"/>
      <c r="U15" s="215"/>
      <c r="V15" s="215"/>
      <c r="W15" s="216"/>
    </row>
    <row r="16" spans="2:23" ht="19.5" customHeight="1" hidden="1">
      <c r="B16" s="191"/>
      <c r="C16" s="185">
        <v>7</v>
      </c>
      <c r="D16" s="11">
        <f t="shared" si="0"/>
        <v>1729</v>
      </c>
      <c r="E16" s="215">
        <v>1124</v>
      </c>
      <c r="F16" s="215"/>
      <c r="G16" s="215">
        <v>199</v>
      </c>
      <c r="H16" s="215"/>
      <c r="I16" s="215"/>
      <c r="J16" s="215">
        <v>232</v>
      </c>
      <c r="K16" s="215"/>
      <c r="L16" s="215"/>
      <c r="M16" s="215"/>
      <c r="N16" s="215"/>
      <c r="O16" s="215"/>
      <c r="P16" s="215">
        <v>174</v>
      </c>
      <c r="Q16" s="215"/>
      <c r="R16" s="215"/>
      <c r="S16" s="215"/>
      <c r="T16" s="215"/>
      <c r="U16" s="215"/>
      <c r="V16" s="215"/>
      <c r="W16" s="216"/>
    </row>
    <row r="17" spans="2:23" ht="19.5" customHeight="1" hidden="1">
      <c r="B17" s="191"/>
      <c r="C17" s="185">
        <v>8</v>
      </c>
      <c r="D17" s="11">
        <f t="shared" si="0"/>
        <v>0</v>
      </c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6"/>
    </row>
    <row r="18" spans="2:23" ht="19.5" customHeight="1" hidden="1">
      <c r="B18" s="191"/>
      <c r="C18" s="185">
        <v>9</v>
      </c>
      <c r="D18" s="130">
        <f t="shared" si="0"/>
        <v>3585</v>
      </c>
      <c r="E18" s="225">
        <v>2547</v>
      </c>
      <c r="F18" s="225"/>
      <c r="G18" s="225">
        <v>244</v>
      </c>
      <c r="H18" s="225"/>
      <c r="I18" s="225"/>
      <c r="J18" s="225">
        <v>368</v>
      </c>
      <c r="K18" s="225"/>
      <c r="L18" s="225"/>
      <c r="M18" s="225"/>
      <c r="N18" s="225"/>
      <c r="O18" s="225"/>
      <c r="P18" s="225">
        <v>426</v>
      </c>
      <c r="Q18" s="225"/>
      <c r="R18" s="225"/>
      <c r="S18" s="225"/>
      <c r="T18" s="225"/>
      <c r="U18" s="225"/>
      <c r="V18" s="225"/>
      <c r="W18" s="223"/>
    </row>
    <row r="19" spans="2:23" ht="19.5" customHeight="1" hidden="1">
      <c r="B19" s="191"/>
      <c r="C19" s="185">
        <v>10</v>
      </c>
      <c r="D19" s="130">
        <f t="shared" si="0"/>
        <v>2992</v>
      </c>
      <c r="E19" s="215">
        <v>1652</v>
      </c>
      <c r="F19" s="215"/>
      <c r="G19" s="215">
        <v>200</v>
      </c>
      <c r="H19" s="215"/>
      <c r="I19" s="215"/>
      <c r="J19" s="215">
        <v>442</v>
      </c>
      <c r="K19" s="215"/>
      <c r="L19" s="215"/>
      <c r="M19" s="215"/>
      <c r="N19" s="215"/>
      <c r="O19" s="215"/>
      <c r="P19" s="215">
        <v>698</v>
      </c>
      <c r="Q19" s="215"/>
      <c r="R19" s="215"/>
      <c r="S19" s="215"/>
      <c r="T19" s="215"/>
      <c r="U19" s="215"/>
      <c r="V19" s="215"/>
      <c r="W19" s="216"/>
    </row>
    <row r="20" spans="2:23" ht="19.5" customHeight="1" hidden="1">
      <c r="B20" s="191"/>
      <c r="C20" s="185">
        <v>11</v>
      </c>
      <c r="D20" s="131">
        <f t="shared" si="0"/>
        <v>3445</v>
      </c>
      <c r="E20" s="215">
        <v>2023</v>
      </c>
      <c r="F20" s="215"/>
      <c r="G20" s="215">
        <v>229</v>
      </c>
      <c r="H20" s="215"/>
      <c r="I20" s="215"/>
      <c r="J20" s="215">
        <v>455</v>
      </c>
      <c r="K20" s="215"/>
      <c r="L20" s="215"/>
      <c r="M20" s="215"/>
      <c r="N20" s="215"/>
      <c r="O20" s="215"/>
      <c r="P20" s="215">
        <v>738</v>
      </c>
      <c r="Q20" s="215"/>
      <c r="R20" s="215"/>
      <c r="S20" s="215"/>
      <c r="T20" s="215"/>
      <c r="U20" s="215"/>
      <c r="V20" s="215"/>
      <c r="W20" s="216"/>
    </row>
    <row r="21" spans="2:23" ht="19.5" customHeight="1" hidden="1">
      <c r="B21" s="191"/>
      <c r="C21" s="185">
        <v>12</v>
      </c>
      <c r="D21" s="131">
        <f t="shared" si="0"/>
        <v>3221</v>
      </c>
      <c r="E21" s="215">
        <v>1985</v>
      </c>
      <c r="F21" s="215"/>
      <c r="G21" s="215">
        <v>237</v>
      </c>
      <c r="H21" s="215"/>
      <c r="I21" s="215"/>
      <c r="J21" s="215">
        <v>434</v>
      </c>
      <c r="K21" s="215"/>
      <c r="L21" s="215"/>
      <c r="M21" s="215"/>
      <c r="N21" s="215"/>
      <c r="O21" s="215"/>
      <c r="P21" s="215">
        <v>565</v>
      </c>
      <c r="Q21" s="215"/>
      <c r="R21" s="215"/>
      <c r="S21" s="215"/>
      <c r="T21" s="215"/>
      <c r="U21" s="215"/>
      <c r="V21" s="215"/>
      <c r="W21" s="216"/>
    </row>
    <row r="22" spans="2:23" ht="19.5" customHeight="1" hidden="1">
      <c r="B22" s="191" t="s">
        <v>59</v>
      </c>
      <c r="C22" s="185">
        <v>1</v>
      </c>
      <c r="D22" s="131">
        <f t="shared" si="0"/>
        <v>1591</v>
      </c>
      <c r="E22" s="225">
        <v>942</v>
      </c>
      <c r="F22" s="225"/>
      <c r="G22" s="225">
        <v>128</v>
      </c>
      <c r="H22" s="225"/>
      <c r="I22" s="225"/>
      <c r="J22" s="225">
        <v>223</v>
      </c>
      <c r="K22" s="225"/>
      <c r="L22" s="225"/>
      <c r="M22" s="225"/>
      <c r="N22" s="225"/>
      <c r="O22" s="225"/>
      <c r="P22" s="225">
        <v>298</v>
      </c>
      <c r="Q22" s="225"/>
      <c r="R22" s="225"/>
      <c r="S22" s="225"/>
      <c r="T22" s="225"/>
      <c r="U22" s="225"/>
      <c r="V22" s="225"/>
      <c r="W22" s="223"/>
    </row>
    <row r="23" spans="2:23" ht="19.5" customHeight="1" hidden="1">
      <c r="B23" s="191"/>
      <c r="C23" s="185">
        <v>2</v>
      </c>
      <c r="D23" s="131">
        <f t="shared" si="0"/>
        <v>592</v>
      </c>
      <c r="E23" s="225">
        <v>466</v>
      </c>
      <c r="F23" s="225"/>
      <c r="G23" s="225">
        <v>18</v>
      </c>
      <c r="H23" s="225"/>
      <c r="I23" s="225"/>
      <c r="J23" s="225">
        <v>79</v>
      </c>
      <c r="K23" s="225"/>
      <c r="L23" s="225"/>
      <c r="M23" s="225"/>
      <c r="N23" s="225"/>
      <c r="O23" s="225"/>
      <c r="P23" s="225">
        <v>29</v>
      </c>
      <c r="Q23" s="225"/>
      <c r="R23" s="225"/>
      <c r="S23" s="225"/>
      <c r="T23" s="225"/>
      <c r="U23" s="225"/>
      <c r="V23" s="225"/>
      <c r="W23" s="223"/>
    </row>
    <row r="24" spans="2:23" ht="19.5" customHeight="1" hidden="1">
      <c r="B24" s="191"/>
      <c r="C24" s="185">
        <v>3</v>
      </c>
      <c r="D24" s="131">
        <f t="shared" si="0"/>
        <v>3288</v>
      </c>
      <c r="E24" s="225">
        <v>2451</v>
      </c>
      <c r="F24" s="225"/>
      <c r="G24" s="225">
        <v>70</v>
      </c>
      <c r="H24" s="225"/>
      <c r="I24" s="225"/>
      <c r="J24" s="225">
        <v>333</v>
      </c>
      <c r="K24" s="225"/>
      <c r="L24" s="225"/>
      <c r="M24" s="225"/>
      <c r="N24" s="225"/>
      <c r="O24" s="225"/>
      <c r="P24" s="225">
        <v>434</v>
      </c>
      <c r="Q24" s="225"/>
      <c r="R24" s="225"/>
      <c r="S24" s="225"/>
      <c r="T24" s="225"/>
      <c r="U24" s="225"/>
      <c r="V24" s="225"/>
      <c r="W24" s="223"/>
    </row>
    <row r="25" spans="2:23" ht="19.5" customHeight="1" hidden="1">
      <c r="B25" s="191"/>
      <c r="C25" s="185">
        <v>4</v>
      </c>
      <c r="D25" s="131">
        <f t="shared" si="0"/>
        <v>2997</v>
      </c>
      <c r="E25" s="225">
        <v>2049</v>
      </c>
      <c r="F25" s="225"/>
      <c r="G25" s="225">
        <v>75</v>
      </c>
      <c r="H25" s="225"/>
      <c r="I25" s="225"/>
      <c r="J25" s="225">
        <v>211</v>
      </c>
      <c r="K25" s="225"/>
      <c r="L25" s="225"/>
      <c r="M25" s="225"/>
      <c r="N25" s="225"/>
      <c r="O25" s="225"/>
      <c r="P25" s="225">
        <v>662</v>
      </c>
      <c r="Q25" s="225"/>
      <c r="R25" s="225"/>
      <c r="S25" s="225"/>
      <c r="T25" s="225"/>
      <c r="U25" s="225"/>
      <c r="V25" s="225"/>
      <c r="W25" s="223"/>
    </row>
    <row r="26" spans="2:23" ht="19.5" customHeight="1" hidden="1">
      <c r="B26" s="191"/>
      <c r="C26" s="185">
        <v>5</v>
      </c>
      <c r="D26" s="131">
        <f t="shared" si="0"/>
        <v>2395</v>
      </c>
      <c r="E26" s="225">
        <v>1671</v>
      </c>
      <c r="F26" s="225"/>
      <c r="G26" s="225">
        <v>81</v>
      </c>
      <c r="H26" s="225"/>
      <c r="I26" s="225"/>
      <c r="J26" s="225">
        <v>249</v>
      </c>
      <c r="K26" s="225"/>
      <c r="L26" s="225"/>
      <c r="M26" s="225"/>
      <c r="N26" s="225"/>
      <c r="O26" s="225"/>
      <c r="P26" s="225">
        <v>394</v>
      </c>
      <c r="Q26" s="225"/>
      <c r="R26" s="225"/>
      <c r="S26" s="225"/>
      <c r="T26" s="225"/>
      <c r="U26" s="225"/>
      <c r="V26" s="225"/>
      <c r="W26" s="223"/>
    </row>
    <row r="27" spans="2:23" ht="19.5" customHeight="1" hidden="1">
      <c r="B27" s="191"/>
      <c r="C27" s="185">
        <v>6</v>
      </c>
      <c r="D27" s="131">
        <f t="shared" si="0"/>
        <v>2181</v>
      </c>
      <c r="E27" s="225">
        <v>1595</v>
      </c>
      <c r="F27" s="225"/>
      <c r="G27" s="225">
        <v>66</v>
      </c>
      <c r="H27" s="225"/>
      <c r="I27" s="225"/>
      <c r="J27" s="225">
        <v>269</v>
      </c>
      <c r="K27" s="225"/>
      <c r="L27" s="225"/>
      <c r="M27" s="225"/>
      <c r="N27" s="225"/>
      <c r="O27" s="225"/>
      <c r="P27" s="225">
        <v>251</v>
      </c>
      <c r="Q27" s="225"/>
      <c r="R27" s="225"/>
      <c r="S27" s="225"/>
      <c r="T27" s="225"/>
      <c r="U27" s="225"/>
      <c r="V27" s="225"/>
      <c r="W27" s="223"/>
    </row>
    <row r="28" spans="2:23" ht="19.5" customHeight="1" hidden="1">
      <c r="B28" s="191"/>
      <c r="C28" s="185">
        <v>7</v>
      </c>
      <c r="D28" s="131">
        <f t="shared" si="0"/>
        <v>1807</v>
      </c>
      <c r="E28" s="225">
        <v>1417</v>
      </c>
      <c r="F28" s="225"/>
      <c r="G28" s="225">
        <v>26</v>
      </c>
      <c r="H28" s="225"/>
      <c r="I28" s="225"/>
      <c r="J28" s="225">
        <v>325</v>
      </c>
      <c r="K28" s="225"/>
      <c r="L28" s="225"/>
      <c r="M28" s="225"/>
      <c r="N28" s="225"/>
      <c r="O28" s="225"/>
      <c r="P28" s="225">
        <v>39</v>
      </c>
      <c r="Q28" s="225"/>
      <c r="R28" s="225"/>
      <c r="S28" s="225"/>
      <c r="T28" s="225"/>
      <c r="U28" s="225"/>
      <c r="V28" s="225"/>
      <c r="W28" s="223"/>
    </row>
    <row r="29" spans="2:23" ht="19.5" customHeight="1" hidden="1">
      <c r="B29" s="191"/>
      <c r="C29" s="185">
        <v>8</v>
      </c>
      <c r="D29" s="131">
        <f t="shared" si="0"/>
        <v>875</v>
      </c>
      <c r="E29" s="225">
        <v>679</v>
      </c>
      <c r="F29" s="225"/>
      <c r="G29" s="225">
        <v>36</v>
      </c>
      <c r="H29" s="225"/>
      <c r="I29" s="225"/>
      <c r="J29" s="225">
        <v>111</v>
      </c>
      <c r="K29" s="225"/>
      <c r="L29" s="225"/>
      <c r="M29" s="225"/>
      <c r="N29" s="225"/>
      <c r="O29" s="225"/>
      <c r="P29" s="225">
        <v>49</v>
      </c>
      <c r="Q29" s="225"/>
      <c r="R29" s="225"/>
      <c r="S29" s="225"/>
      <c r="T29" s="225"/>
      <c r="U29" s="225"/>
      <c r="V29" s="225"/>
      <c r="W29" s="223"/>
    </row>
    <row r="30" spans="2:23" ht="19.5" customHeight="1" hidden="1">
      <c r="B30" s="191"/>
      <c r="C30" s="185">
        <v>9</v>
      </c>
      <c r="D30" s="131">
        <f t="shared" si="0"/>
        <v>1598</v>
      </c>
      <c r="E30" s="225">
        <v>1096</v>
      </c>
      <c r="F30" s="225"/>
      <c r="G30" s="225">
        <v>66</v>
      </c>
      <c r="H30" s="225"/>
      <c r="I30" s="225"/>
      <c r="J30" s="225">
        <v>348</v>
      </c>
      <c r="K30" s="225"/>
      <c r="L30" s="225"/>
      <c r="M30" s="225"/>
      <c r="N30" s="225"/>
      <c r="O30" s="225"/>
      <c r="P30" s="225">
        <v>88</v>
      </c>
      <c r="Q30" s="225"/>
      <c r="R30" s="225"/>
      <c r="S30" s="225"/>
      <c r="T30" s="225"/>
      <c r="U30" s="225"/>
      <c r="V30" s="225"/>
      <c r="W30" s="223"/>
    </row>
    <row r="31" spans="2:23" ht="19.5" customHeight="1" hidden="1">
      <c r="B31" s="191"/>
      <c r="C31" s="185">
        <v>10</v>
      </c>
      <c r="D31" s="131">
        <f t="shared" si="0"/>
        <v>1652</v>
      </c>
      <c r="E31" s="225">
        <v>1239</v>
      </c>
      <c r="F31" s="225"/>
      <c r="G31" s="225">
        <v>57</v>
      </c>
      <c r="H31" s="225"/>
      <c r="I31" s="225"/>
      <c r="J31" s="225">
        <v>207</v>
      </c>
      <c r="K31" s="225"/>
      <c r="L31" s="225"/>
      <c r="M31" s="225"/>
      <c r="N31" s="225"/>
      <c r="O31" s="225"/>
      <c r="P31" s="225">
        <v>149</v>
      </c>
      <c r="Q31" s="225"/>
      <c r="R31" s="225"/>
      <c r="S31" s="225"/>
      <c r="T31" s="225"/>
      <c r="U31" s="225"/>
      <c r="V31" s="225"/>
      <c r="W31" s="223"/>
    </row>
    <row r="32" spans="2:23" ht="19.5" customHeight="1" hidden="1">
      <c r="B32" s="191"/>
      <c r="C32" s="185">
        <v>11</v>
      </c>
      <c r="D32" s="131">
        <f t="shared" si="0"/>
        <v>1967</v>
      </c>
      <c r="E32" s="225">
        <v>1315</v>
      </c>
      <c r="F32" s="225"/>
      <c r="G32" s="225">
        <v>61</v>
      </c>
      <c r="H32" s="225"/>
      <c r="I32" s="225"/>
      <c r="J32" s="225">
        <v>449</v>
      </c>
      <c r="K32" s="225"/>
      <c r="L32" s="225"/>
      <c r="M32" s="225"/>
      <c r="N32" s="225"/>
      <c r="O32" s="225"/>
      <c r="P32" s="225">
        <v>142</v>
      </c>
      <c r="Q32" s="225"/>
      <c r="R32" s="225"/>
      <c r="S32" s="225"/>
      <c r="T32" s="225"/>
      <c r="U32" s="225"/>
      <c r="V32" s="225"/>
      <c r="W32" s="223"/>
    </row>
    <row r="33" spans="2:23" ht="19.5" customHeight="1" hidden="1">
      <c r="B33" s="191"/>
      <c r="C33" s="185">
        <v>12</v>
      </c>
      <c r="D33" s="131">
        <f t="shared" si="0"/>
        <v>1959</v>
      </c>
      <c r="E33" s="225">
        <v>1357</v>
      </c>
      <c r="F33" s="225"/>
      <c r="G33" s="225">
        <v>129</v>
      </c>
      <c r="H33" s="225"/>
      <c r="I33" s="225"/>
      <c r="J33" s="225">
        <v>288</v>
      </c>
      <c r="K33" s="225"/>
      <c r="L33" s="225"/>
      <c r="M33" s="225"/>
      <c r="N33" s="225"/>
      <c r="O33" s="225"/>
      <c r="P33" s="225">
        <v>185</v>
      </c>
      <c r="Q33" s="225"/>
      <c r="R33" s="225"/>
      <c r="S33" s="225"/>
      <c r="T33" s="225"/>
      <c r="U33" s="225"/>
      <c r="V33" s="225"/>
      <c r="W33" s="223"/>
    </row>
    <row r="34" spans="2:23" ht="19.5" customHeight="1" hidden="1">
      <c r="B34" s="191" t="s">
        <v>71</v>
      </c>
      <c r="C34" s="238">
        <v>1</v>
      </c>
      <c r="D34" s="130">
        <f t="shared" si="0"/>
        <v>944</v>
      </c>
      <c r="E34" s="225">
        <v>765</v>
      </c>
      <c r="F34" s="225"/>
      <c r="G34" s="225">
        <v>36</v>
      </c>
      <c r="H34" s="225"/>
      <c r="I34" s="225"/>
      <c r="J34" s="225">
        <v>103</v>
      </c>
      <c r="K34" s="225"/>
      <c r="L34" s="225"/>
      <c r="M34" s="225"/>
      <c r="N34" s="225"/>
      <c r="O34" s="225"/>
      <c r="P34" s="225">
        <v>40</v>
      </c>
      <c r="Q34" s="225"/>
      <c r="R34" s="225"/>
      <c r="S34" s="225"/>
      <c r="T34" s="225"/>
      <c r="U34" s="225"/>
      <c r="V34" s="225"/>
      <c r="W34" s="223"/>
    </row>
    <row r="35" spans="2:23" ht="16.5" hidden="1">
      <c r="B35" s="191"/>
      <c r="C35" s="185">
        <v>2</v>
      </c>
      <c r="D35" s="226">
        <f t="shared" si="0"/>
        <v>850</v>
      </c>
      <c r="E35" s="226">
        <v>694</v>
      </c>
      <c r="F35" s="226"/>
      <c r="G35" s="226">
        <v>25</v>
      </c>
      <c r="H35" s="226"/>
      <c r="I35" s="226"/>
      <c r="J35" s="226">
        <v>82</v>
      </c>
      <c r="K35" s="226"/>
      <c r="L35" s="226"/>
      <c r="M35" s="226"/>
      <c r="N35" s="226"/>
      <c r="O35" s="226"/>
      <c r="P35" s="226">
        <v>49</v>
      </c>
      <c r="Q35" s="226"/>
      <c r="R35" s="226"/>
      <c r="S35" s="226"/>
      <c r="T35" s="226"/>
      <c r="U35" s="226"/>
      <c r="V35" s="226"/>
      <c r="W35" s="227"/>
    </row>
    <row r="36" spans="2:23" ht="16.5" hidden="1">
      <c r="B36" s="191"/>
      <c r="C36" s="185">
        <v>3</v>
      </c>
      <c r="D36" s="226">
        <f t="shared" si="0"/>
        <v>1504</v>
      </c>
      <c r="E36" s="226">
        <v>1150</v>
      </c>
      <c r="F36" s="226"/>
      <c r="G36" s="226">
        <v>59</v>
      </c>
      <c r="H36" s="226"/>
      <c r="I36" s="226"/>
      <c r="J36" s="226">
        <v>151</v>
      </c>
      <c r="K36" s="226"/>
      <c r="L36" s="226"/>
      <c r="M36" s="226"/>
      <c r="N36" s="226"/>
      <c r="O36" s="226"/>
      <c r="P36" s="226">
        <v>144</v>
      </c>
      <c r="Q36" s="226"/>
      <c r="R36" s="226"/>
      <c r="S36" s="226"/>
      <c r="T36" s="226"/>
      <c r="U36" s="226"/>
      <c r="V36" s="226"/>
      <c r="W36" s="227"/>
    </row>
    <row r="37" spans="2:23" ht="16.5" hidden="1">
      <c r="B37" s="191"/>
      <c r="C37" s="185">
        <v>4</v>
      </c>
      <c r="D37" s="226">
        <f t="shared" si="0"/>
        <v>1327</v>
      </c>
      <c r="E37" s="226">
        <v>987</v>
      </c>
      <c r="F37" s="226"/>
      <c r="G37" s="226">
        <v>78</v>
      </c>
      <c r="H37" s="226"/>
      <c r="I37" s="226"/>
      <c r="J37" s="226">
        <v>145</v>
      </c>
      <c r="K37" s="226"/>
      <c r="L37" s="226"/>
      <c r="M37" s="226"/>
      <c r="N37" s="226"/>
      <c r="O37" s="226"/>
      <c r="P37" s="226">
        <v>117</v>
      </c>
      <c r="Q37" s="226"/>
      <c r="R37" s="226"/>
      <c r="S37" s="226"/>
      <c r="T37" s="226"/>
      <c r="U37" s="226"/>
      <c r="V37" s="226"/>
      <c r="W37" s="227"/>
    </row>
    <row r="38" spans="2:23" ht="16.5" hidden="1">
      <c r="B38" s="191"/>
      <c r="C38" s="185">
        <v>5</v>
      </c>
      <c r="D38" s="226">
        <f t="shared" si="0"/>
        <v>1789</v>
      </c>
      <c r="E38" s="226">
        <v>1261</v>
      </c>
      <c r="F38" s="226"/>
      <c r="G38" s="226">
        <v>131</v>
      </c>
      <c r="H38" s="226"/>
      <c r="I38" s="226"/>
      <c r="J38" s="226">
        <v>255</v>
      </c>
      <c r="K38" s="226"/>
      <c r="L38" s="226"/>
      <c r="M38" s="226"/>
      <c r="N38" s="226"/>
      <c r="O38" s="226"/>
      <c r="P38" s="226">
        <v>142</v>
      </c>
      <c r="Q38" s="226"/>
      <c r="R38" s="226"/>
      <c r="S38" s="226"/>
      <c r="T38" s="226"/>
      <c r="U38" s="226"/>
      <c r="V38" s="226"/>
      <c r="W38" s="227"/>
    </row>
    <row r="39" spans="2:23" ht="16.5" hidden="1">
      <c r="B39" s="191"/>
      <c r="C39" s="185">
        <v>6</v>
      </c>
      <c r="D39" s="226">
        <f t="shared" si="0"/>
        <v>1370</v>
      </c>
      <c r="E39" s="226">
        <v>1043</v>
      </c>
      <c r="F39" s="226"/>
      <c r="G39" s="226">
        <v>72</v>
      </c>
      <c r="H39" s="226"/>
      <c r="I39" s="226"/>
      <c r="J39" s="226">
        <v>207</v>
      </c>
      <c r="K39" s="226"/>
      <c r="L39" s="226"/>
      <c r="M39" s="226"/>
      <c r="N39" s="226"/>
      <c r="O39" s="226"/>
      <c r="P39" s="226">
        <v>48</v>
      </c>
      <c r="Q39" s="226"/>
      <c r="R39" s="226"/>
      <c r="S39" s="226"/>
      <c r="T39" s="226"/>
      <c r="U39" s="226"/>
      <c r="V39" s="226"/>
      <c r="W39" s="227"/>
    </row>
    <row r="40" spans="2:23" ht="16.5" hidden="1">
      <c r="B40" s="191"/>
      <c r="C40" s="185">
        <v>7</v>
      </c>
      <c r="D40" s="226">
        <f t="shared" si="0"/>
        <v>772</v>
      </c>
      <c r="E40" s="226">
        <v>574</v>
      </c>
      <c r="F40" s="226"/>
      <c r="G40" s="226">
        <v>58</v>
      </c>
      <c r="H40" s="226"/>
      <c r="I40" s="226"/>
      <c r="J40" s="226">
        <v>93</v>
      </c>
      <c r="K40" s="226"/>
      <c r="L40" s="226"/>
      <c r="M40" s="226"/>
      <c r="N40" s="226"/>
      <c r="O40" s="226"/>
      <c r="P40" s="226">
        <v>47</v>
      </c>
      <c r="Q40" s="226"/>
      <c r="R40" s="226"/>
      <c r="S40" s="226"/>
      <c r="T40" s="226"/>
      <c r="U40" s="226"/>
      <c r="V40" s="226"/>
      <c r="W40" s="227"/>
    </row>
    <row r="41" spans="2:23" ht="16.5" hidden="1">
      <c r="B41" s="191"/>
      <c r="C41" s="185">
        <v>8</v>
      </c>
      <c r="D41" s="226">
        <f t="shared" si="0"/>
        <v>913</v>
      </c>
      <c r="E41" s="226">
        <v>695</v>
      </c>
      <c r="F41" s="226"/>
      <c r="G41" s="226">
        <v>61</v>
      </c>
      <c r="H41" s="226"/>
      <c r="I41" s="226"/>
      <c r="J41" s="226">
        <v>119</v>
      </c>
      <c r="K41" s="226"/>
      <c r="L41" s="226"/>
      <c r="M41" s="226"/>
      <c r="N41" s="226"/>
      <c r="O41" s="226"/>
      <c r="P41" s="226">
        <v>38</v>
      </c>
      <c r="Q41" s="226"/>
      <c r="R41" s="226"/>
      <c r="S41" s="226"/>
      <c r="T41" s="226"/>
      <c r="U41" s="226"/>
      <c r="V41" s="226"/>
      <c r="W41" s="227"/>
    </row>
    <row r="42" spans="2:23" ht="16.5" hidden="1">
      <c r="B42" s="191"/>
      <c r="C42" s="185">
        <v>9</v>
      </c>
      <c r="D42" s="226">
        <f t="shared" si="0"/>
        <v>1247</v>
      </c>
      <c r="E42" s="226">
        <v>892</v>
      </c>
      <c r="F42" s="226"/>
      <c r="G42" s="226">
        <v>69</v>
      </c>
      <c r="H42" s="226"/>
      <c r="I42" s="226"/>
      <c r="J42" s="226">
        <v>225</v>
      </c>
      <c r="K42" s="226"/>
      <c r="L42" s="226"/>
      <c r="M42" s="226"/>
      <c r="N42" s="226"/>
      <c r="O42" s="226"/>
      <c r="P42" s="226">
        <v>61</v>
      </c>
      <c r="Q42" s="226"/>
      <c r="R42" s="226"/>
      <c r="S42" s="226"/>
      <c r="T42" s="226"/>
      <c r="U42" s="226"/>
      <c r="V42" s="226"/>
      <c r="W42" s="227"/>
    </row>
    <row r="43" spans="2:23" ht="16.5" hidden="1">
      <c r="B43" s="191"/>
      <c r="C43" s="185">
        <v>10</v>
      </c>
      <c r="D43" s="226">
        <f t="shared" si="0"/>
        <v>1491</v>
      </c>
      <c r="E43" s="226">
        <v>1103</v>
      </c>
      <c r="F43" s="226"/>
      <c r="G43" s="226">
        <v>69</v>
      </c>
      <c r="H43" s="226"/>
      <c r="I43" s="226"/>
      <c r="J43" s="226">
        <v>243</v>
      </c>
      <c r="K43" s="226"/>
      <c r="L43" s="226"/>
      <c r="M43" s="226"/>
      <c r="N43" s="226"/>
      <c r="O43" s="226"/>
      <c r="P43" s="226">
        <v>76</v>
      </c>
      <c r="Q43" s="226"/>
      <c r="R43" s="226"/>
      <c r="S43" s="226"/>
      <c r="T43" s="226"/>
      <c r="U43" s="226"/>
      <c r="V43" s="226"/>
      <c r="W43" s="227"/>
    </row>
    <row r="44" spans="2:23" ht="16.5" hidden="1">
      <c r="B44" s="191"/>
      <c r="C44" s="185">
        <v>11</v>
      </c>
      <c r="D44" s="226">
        <f t="shared" si="0"/>
        <v>1415</v>
      </c>
      <c r="E44" s="226">
        <v>1076</v>
      </c>
      <c r="F44" s="226"/>
      <c r="G44" s="226">
        <v>93</v>
      </c>
      <c r="H44" s="226"/>
      <c r="I44" s="226"/>
      <c r="J44" s="226">
        <v>179</v>
      </c>
      <c r="K44" s="226"/>
      <c r="L44" s="226"/>
      <c r="M44" s="226"/>
      <c r="N44" s="226"/>
      <c r="O44" s="226"/>
      <c r="P44" s="226">
        <v>67</v>
      </c>
      <c r="Q44" s="226"/>
      <c r="R44" s="226"/>
      <c r="S44" s="226"/>
      <c r="T44" s="226"/>
      <c r="U44" s="226"/>
      <c r="V44" s="226"/>
      <c r="W44" s="227"/>
    </row>
    <row r="45" spans="2:23" ht="17.25" hidden="1" thickBot="1">
      <c r="B45" s="197"/>
      <c r="C45" s="186">
        <v>12</v>
      </c>
      <c r="D45" s="228">
        <f t="shared" si="0"/>
        <v>1314</v>
      </c>
      <c r="E45" s="228">
        <v>1042</v>
      </c>
      <c r="F45" s="228"/>
      <c r="G45" s="228">
        <v>75</v>
      </c>
      <c r="H45" s="228"/>
      <c r="I45" s="228"/>
      <c r="J45" s="228">
        <v>146</v>
      </c>
      <c r="K45" s="228"/>
      <c r="L45" s="228"/>
      <c r="M45" s="228"/>
      <c r="N45" s="228"/>
      <c r="O45" s="228"/>
      <c r="P45" s="228">
        <v>51</v>
      </c>
      <c r="Q45" s="228"/>
      <c r="R45" s="228"/>
      <c r="S45" s="228"/>
      <c r="T45" s="228"/>
      <c r="U45" s="228"/>
      <c r="V45" s="228"/>
      <c r="W45" s="229"/>
    </row>
    <row r="46" spans="2:23" ht="19.5" customHeight="1" hidden="1">
      <c r="B46" s="195" t="s">
        <v>109</v>
      </c>
      <c r="C46" s="238">
        <v>1</v>
      </c>
      <c r="D46" s="230">
        <f t="shared" si="0"/>
        <v>591</v>
      </c>
      <c r="E46" s="231">
        <v>474</v>
      </c>
      <c r="F46" s="231"/>
      <c r="G46" s="231">
        <v>27</v>
      </c>
      <c r="H46" s="231"/>
      <c r="I46" s="231"/>
      <c r="J46" s="231">
        <v>50</v>
      </c>
      <c r="K46" s="231"/>
      <c r="L46" s="231"/>
      <c r="M46" s="231"/>
      <c r="N46" s="231"/>
      <c r="O46" s="231"/>
      <c r="P46" s="231">
        <v>40</v>
      </c>
      <c r="Q46" s="231"/>
      <c r="R46" s="231"/>
      <c r="S46" s="231"/>
      <c r="T46" s="231"/>
      <c r="U46" s="231"/>
      <c r="V46" s="231"/>
      <c r="W46" s="246"/>
    </row>
    <row r="47" spans="2:23" ht="16.5" hidden="1">
      <c r="B47" s="191"/>
      <c r="C47" s="185">
        <v>2</v>
      </c>
      <c r="D47" s="226">
        <f t="shared" si="0"/>
        <v>930</v>
      </c>
      <c r="E47" s="226">
        <v>697</v>
      </c>
      <c r="F47" s="226"/>
      <c r="G47" s="226">
        <v>65</v>
      </c>
      <c r="H47" s="226"/>
      <c r="I47" s="226"/>
      <c r="J47" s="226">
        <v>84</v>
      </c>
      <c r="K47" s="226"/>
      <c r="L47" s="226"/>
      <c r="M47" s="226"/>
      <c r="N47" s="226"/>
      <c r="O47" s="226"/>
      <c r="P47" s="226">
        <v>84</v>
      </c>
      <c r="Q47" s="226"/>
      <c r="R47" s="226"/>
      <c r="S47" s="226"/>
      <c r="T47" s="226"/>
      <c r="U47" s="226"/>
      <c r="V47" s="226"/>
      <c r="W47" s="227"/>
    </row>
    <row r="48" spans="2:23" ht="16.5" hidden="1">
      <c r="B48" s="191"/>
      <c r="C48" s="185">
        <v>3</v>
      </c>
      <c r="D48" s="226">
        <f t="shared" si="0"/>
        <v>1254</v>
      </c>
      <c r="E48" s="226">
        <v>1010</v>
      </c>
      <c r="F48" s="226"/>
      <c r="G48" s="226">
        <v>53</v>
      </c>
      <c r="H48" s="226"/>
      <c r="I48" s="226"/>
      <c r="J48" s="226">
        <v>157</v>
      </c>
      <c r="K48" s="226"/>
      <c r="L48" s="226"/>
      <c r="M48" s="226"/>
      <c r="N48" s="226"/>
      <c r="O48" s="226"/>
      <c r="P48" s="226">
        <v>34</v>
      </c>
      <c r="Q48" s="226"/>
      <c r="R48" s="226"/>
      <c r="S48" s="226"/>
      <c r="T48" s="226"/>
      <c r="U48" s="226"/>
      <c r="V48" s="226"/>
      <c r="W48" s="227"/>
    </row>
    <row r="49" spans="2:23" ht="16.5" hidden="1">
      <c r="B49" s="191"/>
      <c r="C49" s="185">
        <v>4</v>
      </c>
      <c r="D49" s="226">
        <f t="shared" si="0"/>
        <v>1122</v>
      </c>
      <c r="E49" s="226">
        <v>837</v>
      </c>
      <c r="F49" s="226"/>
      <c r="G49" s="226">
        <v>99</v>
      </c>
      <c r="H49" s="226"/>
      <c r="I49" s="226"/>
      <c r="J49" s="226">
        <v>153</v>
      </c>
      <c r="K49" s="226"/>
      <c r="L49" s="226"/>
      <c r="M49" s="226"/>
      <c r="N49" s="226"/>
      <c r="O49" s="226"/>
      <c r="P49" s="226">
        <v>33</v>
      </c>
      <c r="Q49" s="226"/>
      <c r="R49" s="226"/>
      <c r="S49" s="226"/>
      <c r="T49" s="226"/>
      <c r="U49" s="226"/>
      <c r="V49" s="226"/>
      <c r="W49" s="227"/>
    </row>
    <row r="50" spans="2:23" ht="16.5" hidden="1">
      <c r="B50" s="191"/>
      <c r="C50" s="185">
        <v>5</v>
      </c>
      <c r="D50" s="226">
        <f t="shared" si="0"/>
        <v>1382</v>
      </c>
      <c r="E50" s="226">
        <v>1037</v>
      </c>
      <c r="F50" s="226"/>
      <c r="G50" s="226">
        <v>110</v>
      </c>
      <c r="H50" s="226"/>
      <c r="I50" s="226"/>
      <c r="J50" s="226">
        <v>143</v>
      </c>
      <c r="K50" s="226"/>
      <c r="L50" s="226"/>
      <c r="M50" s="226"/>
      <c r="N50" s="226"/>
      <c r="O50" s="226"/>
      <c r="P50" s="226">
        <v>92</v>
      </c>
      <c r="Q50" s="226"/>
      <c r="R50" s="226"/>
      <c r="S50" s="226"/>
      <c r="T50" s="226"/>
      <c r="U50" s="226"/>
      <c r="V50" s="226"/>
      <c r="W50" s="227"/>
    </row>
    <row r="51" spans="2:23" ht="16.5" hidden="1">
      <c r="B51" s="191"/>
      <c r="C51" s="185">
        <v>6</v>
      </c>
      <c r="D51" s="226">
        <f t="shared" si="0"/>
        <v>1265</v>
      </c>
      <c r="E51" s="226">
        <v>888</v>
      </c>
      <c r="F51" s="226"/>
      <c r="G51" s="226">
        <v>106</v>
      </c>
      <c r="H51" s="226"/>
      <c r="I51" s="226"/>
      <c r="J51" s="226">
        <v>164</v>
      </c>
      <c r="K51" s="226"/>
      <c r="L51" s="226"/>
      <c r="M51" s="226"/>
      <c r="N51" s="226"/>
      <c r="O51" s="226"/>
      <c r="P51" s="226">
        <v>107</v>
      </c>
      <c r="Q51" s="226"/>
      <c r="R51" s="226"/>
      <c r="S51" s="226"/>
      <c r="T51" s="226"/>
      <c r="U51" s="226"/>
      <c r="V51" s="226"/>
      <c r="W51" s="227"/>
    </row>
    <row r="52" spans="2:23" ht="16.5" hidden="1">
      <c r="B52" s="191"/>
      <c r="C52" s="185">
        <v>7</v>
      </c>
      <c r="D52" s="226">
        <f t="shared" si="0"/>
        <v>922</v>
      </c>
      <c r="E52" s="226">
        <v>710</v>
      </c>
      <c r="F52" s="226"/>
      <c r="G52" s="226">
        <v>45</v>
      </c>
      <c r="H52" s="226"/>
      <c r="I52" s="226"/>
      <c r="J52" s="226">
        <v>103</v>
      </c>
      <c r="K52" s="226"/>
      <c r="L52" s="226"/>
      <c r="M52" s="226"/>
      <c r="N52" s="226"/>
      <c r="O52" s="226"/>
      <c r="P52" s="226">
        <v>64</v>
      </c>
      <c r="Q52" s="226"/>
      <c r="R52" s="226"/>
      <c r="S52" s="226"/>
      <c r="T52" s="226"/>
      <c r="U52" s="226"/>
      <c r="V52" s="226"/>
      <c r="W52" s="227"/>
    </row>
    <row r="53" spans="2:23" ht="16.5" hidden="1">
      <c r="B53" s="191"/>
      <c r="C53" s="185">
        <v>8</v>
      </c>
      <c r="D53" s="226">
        <f t="shared" si="0"/>
        <v>978</v>
      </c>
      <c r="E53" s="226">
        <v>711</v>
      </c>
      <c r="F53" s="226"/>
      <c r="G53" s="226">
        <v>62</v>
      </c>
      <c r="H53" s="226"/>
      <c r="I53" s="226"/>
      <c r="J53" s="226">
        <v>124</v>
      </c>
      <c r="K53" s="226"/>
      <c r="L53" s="226"/>
      <c r="M53" s="226"/>
      <c r="N53" s="226"/>
      <c r="O53" s="226"/>
      <c r="P53" s="226">
        <v>81</v>
      </c>
      <c r="Q53" s="226"/>
      <c r="R53" s="226"/>
      <c r="S53" s="226"/>
      <c r="T53" s="226"/>
      <c r="U53" s="226"/>
      <c r="V53" s="226"/>
      <c r="W53" s="227"/>
    </row>
    <row r="54" spans="2:23" ht="16.5" hidden="1">
      <c r="B54" s="191"/>
      <c r="C54" s="185">
        <v>9</v>
      </c>
      <c r="D54" s="226">
        <f t="shared" si="0"/>
        <v>1268</v>
      </c>
      <c r="E54" s="226">
        <v>870</v>
      </c>
      <c r="F54" s="226"/>
      <c r="G54" s="226">
        <v>86</v>
      </c>
      <c r="H54" s="226"/>
      <c r="I54" s="226"/>
      <c r="J54" s="226">
        <v>158</v>
      </c>
      <c r="K54" s="226"/>
      <c r="L54" s="226"/>
      <c r="M54" s="226"/>
      <c r="N54" s="226"/>
      <c r="O54" s="226"/>
      <c r="P54" s="226">
        <v>153</v>
      </c>
      <c r="Q54" s="226"/>
      <c r="R54" s="226"/>
      <c r="S54" s="226"/>
      <c r="T54" s="226"/>
      <c r="U54" s="226"/>
      <c r="V54" s="226"/>
      <c r="W54" s="227">
        <v>1</v>
      </c>
    </row>
    <row r="55" spans="2:23" ht="16.5" hidden="1">
      <c r="B55" s="191" t="s">
        <v>126</v>
      </c>
      <c r="C55" s="185">
        <v>10</v>
      </c>
      <c r="D55" s="226">
        <f t="shared" si="0"/>
        <v>1531</v>
      </c>
      <c r="E55" s="226">
        <v>997</v>
      </c>
      <c r="F55" s="226"/>
      <c r="G55" s="226">
        <v>112</v>
      </c>
      <c r="H55" s="226"/>
      <c r="I55" s="226"/>
      <c r="J55" s="226">
        <v>232</v>
      </c>
      <c r="K55" s="226"/>
      <c r="L55" s="226"/>
      <c r="M55" s="226"/>
      <c r="N55" s="226"/>
      <c r="O55" s="226"/>
      <c r="P55" s="226">
        <v>190</v>
      </c>
      <c r="Q55" s="226"/>
      <c r="R55" s="226"/>
      <c r="S55" s="226"/>
      <c r="T55" s="226"/>
      <c r="U55" s="226"/>
      <c r="V55" s="226"/>
      <c r="W55" s="227"/>
    </row>
    <row r="56" spans="2:23" ht="16.5" hidden="1">
      <c r="B56" s="191"/>
      <c r="C56" s="185">
        <v>11</v>
      </c>
      <c r="D56" s="226">
        <f t="shared" si="0"/>
        <v>1545.1000000000001</v>
      </c>
      <c r="E56" s="247">
        <v>1035.7</v>
      </c>
      <c r="F56" s="226"/>
      <c r="G56" s="226">
        <v>103.5</v>
      </c>
      <c r="H56" s="226"/>
      <c r="I56" s="226"/>
      <c r="J56" s="226">
        <v>244.5</v>
      </c>
      <c r="K56" s="226"/>
      <c r="L56" s="226"/>
      <c r="M56" s="226"/>
      <c r="N56" s="226"/>
      <c r="O56" s="226"/>
      <c r="P56" s="226">
        <v>161.4</v>
      </c>
      <c r="Q56" s="226"/>
      <c r="R56" s="226"/>
      <c r="S56" s="226"/>
      <c r="T56" s="226"/>
      <c r="U56" s="226"/>
      <c r="V56" s="226"/>
      <c r="W56" s="227"/>
    </row>
    <row r="57" spans="2:23" ht="17.25" hidden="1" thickBot="1">
      <c r="B57" s="237"/>
      <c r="C57" s="186">
        <v>12</v>
      </c>
      <c r="D57" s="226">
        <f t="shared" si="0"/>
        <v>2220.5</v>
      </c>
      <c r="E57" s="228">
        <v>1515.1</v>
      </c>
      <c r="F57" s="228"/>
      <c r="G57" s="228">
        <v>133.7</v>
      </c>
      <c r="H57" s="228"/>
      <c r="I57" s="228"/>
      <c r="J57" s="228">
        <v>353.2</v>
      </c>
      <c r="K57" s="228"/>
      <c r="L57" s="228"/>
      <c r="M57" s="228"/>
      <c r="N57" s="228"/>
      <c r="O57" s="228"/>
      <c r="P57" s="228">
        <v>218.5</v>
      </c>
      <c r="Q57" s="228"/>
      <c r="R57" s="228"/>
      <c r="S57" s="228"/>
      <c r="T57" s="228"/>
      <c r="U57" s="228"/>
      <c r="V57" s="228"/>
      <c r="W57" s="229"/>
    </row>
    <row r="58" spans="2:25" ht="17.25" hidden="1" thickTop="1">
      <c r="B58" s="191" t="s">
        <v>123</v>
      </c>
      <c r="C58" s="184">
        <v>1</v>
      </c>
      <c r="D58" s="226">
        <f t="shared" si="0"/>
        <v>1236</v>
      </c>
      <c r="E58" s="248">
        <v>806.5</v>
      </c>
      <c r="F58" s="248"/>
      <c r="G58" s="248">
        <v>100.8</v>
      </c>
      <c r="H58" s="248"/>
      <c r="I58" s="248"/>
      <c r="J58" s="248">
        <v>170.3</v>
      </c>
      <c r="K58" s="248"/>
      <c r="L58" s="248"/>
      <c r="M58" s="248"/>
      <c r="N58" s="248"/>
      <c r="O58" s="248"/>
      <c r="P58" s="248">
        <v>157.4</v>
      </c>
      <c r="Q58" s="248"/>
      <c r="R58" s="248"/>
      <c r="S58" s="248"/>
      <c r="T58" s="248"/>
      <c r="U58" s="248"/>
      <c r="V58" s="248"/>
      <c r="W58" s="248">
        <v>1</v>
      </c>
      <c r="X58" s="249"/>
      <c r="Y58" s="250"/>
    </row>
    <row r="59" spans="2:24" ht="16.5" hidden="1">
      <c r="B59" s="191"/>
      <c r="C59" s="185">
        <v>2</v>
      </c>
      <c r="D59" s="226">
        <f t="shared" si="0"/>
        <v>735.9</v>
      </c>
      <c r="E59" s="226">
        <v>490</v>
      </c>
      <c r="F59" s="226"/>
      <c r="G59" s="226">
        <v>101.4</v>
      </c>
      <c r="H59" s="226"/>
      <c r="I59" s="226"/>
      <c r="J59" s="226">
        <v>71.9</v>
      </c>
      <c r="K59" s="226"/>
      <c r="L59" s="226"/>
      <c r="M59" s="226"/>
      <c r="N59" s="226"/>
      <c r="O59" s="226"/>
      <c r="P59" s="226">
        <v>71.6</v>
      </c>
      <c r="Q59" s="226"/>
      <c r="R59" s="226"/>
      <c r="S59" s="226"/>
      <c r="T59" s="226"/>
      <c r="U59" s="226"/>
      <c r="V59" s="226"/>
      <c r="W59" s="226">
        <v>1</v>
      </c>
      <c r="X59" s="249"/>
    </row>
    <row r="60" spans="2:24" ht="16.5" hidden="1">
      <c r="B60" s="191"/>
      <c r="C60" s="185">
        <v>3</v>
      </c>
      <c r="D60" s="226">
        <f t="shared" si="0"/>
        <v>1864.8000000000002</v>
      </c>
      <c r="E60" s="226">
        <v>1116.9</v>
      </c>
      <c r="F60" s="226"/>
      <c r="G60" s="226">
        <v>180.5</v>
      </c>
      <c r="H60" s="226"/>
      <c r="I60" s="226"/>
      <c r="J60" s="226">
        <v>321.4</v>
      </c>
      <c r="K60" s="226"/>
      <c r="L60" s="226"/>
      <c r="M60" s="226"/>
      <c r="N60" s="226"/>
      <c r="O60" s="226"/>
      <c r="P60" s="226">
        <v>245</v>
      </c>
      <c r="Q60" s="226"/>
      <c r="R60" s="226"/>
      <c r="S60" s="226"/>
      <c r="T60" s="226"/>
      <c r="U60" s="226"/>
      <c r="V60" s="226"/>
      <c r="W60" s="226">
        <v>1</v>
      </c>
      <c r="X60" s="249"/>
    </row>
    <row r="61" spans="2:25" ht="16.5" hidden="1">
      <c r="B61" s="191"/>
      <c r="C61" s="185">
        <v>4</v>
      </c>
      <c r="D61" s="226">
        <f t="shared" si="0"/>
        <v>1586.9</v>
      </c>
      <c r="E61" s="226">
        <v>940.1</v>
      </c>
      <c r="F61" s="226"/>
      <c r="G61" s="226">
        <v>145.1</v>
      </c>
      <c r="H61" s="226"/>
      <c r="I61" s="226"/>
      <c r="J61" s="226">
        <v>318.1</v>
      </c>
      <c r="K61" s="226"/>
      <c r="L61" s="226"/>
      <c r="M61" s="226"/>
      <c r="N61" s="226"/>
      <c r="O61" s="226"/>
      <c r="P61" s="226">
        <v>182.6</v>
      </c>
      <c r="Q61" s="226"/>
      <c r="R61" s="226"/>
      <c r="S61" s="226"/>
      <c r="T61" s="226"/>
      <c r="U61" s="226"/>
      <c r="V61" s="226"/>
      <c r="W61" s="226">
        <v>1</v>
      </c>
      <c r="X61" s="249"/>
      <c r="Y61" s="250"/>
    </row>
    <row r="62" spans="2:24" ht="16.5" hidden="1">
      <c r="B62" s="191"/>
      <c r="C62" s="185">
        <v>5</v>
      </c>
      <c r="D62" s="226">
        <f t="shared" si="0"/>
        <v>2094.3</v>
      </c>
      <c r="E62" s="226">
        <v>1317.4</v>
      </c>
      <c r="F62" s="226"/>
      <c r="G62" s="226">
        <v>361.6</v>
      </c>
      <c r="H62" s="226"/>
      <c r="I62" s="226"/>
      <c r="J62" s="226">
        <v>162.4</v>
      </c>
      <c r="K62" s="226"/>
      <c r="L62" s="226"/>
      <c r="M62" s="226"/>
      <c r="N62" s="226"/>
      <c r="O62" s="226"/>
      <c r="P62" s="226">
        <v>251.9</v>
      </c>
      <c r="Q62" s="226"/>
      <c r="R62" s="226"/>
      <c r="S62" s="226"/>
      <c r="T62" s="226"/>
      <c r="U62" s="226"/>
      <c r="V62" s="226"/>
      <c r="W62" s="226">
        <v>1</v>
      </c>
      <c r="X62" s="249"/>
    </row>
    <row r="63" spans="2:25" ht="16.5" hidden="1">
      <c r="B63" s="191"/>
      <c r="C63" s="185">
        <v>6</v>
      </c>
      <c r="D63" s="226">
        <f t="shared" si="0"/>
        <v>1537.8</v>
      </c>
      <c r="E63" s="226">
        <v>1021.3</v>
      </c>
      <c r="F63" s="226"/>
      <c r="G63" s="226">
        <v>119.3</v>
      </c>
      <c r="H63" s="226"/>
      <c r="I63" s="226"/>
      <c r="J63" s="226">
        <v>214.8</v>
      </c>
      <c r="K63" s="226"/>
      <c r="L63" s="226"/>
      <c r="M63" s="226"/>
      <c r="N63" s="226"/>
      <c r="O63" s="226"/>
      <c r="P63" s="226">
        <v>181.4</v>
      </c>
      <c r="Q63" s="226"/>
      <c r="R63" s="226"/>
      <c r="S63" s="226"/>
      <c r="T63" s="226"/>
      <c r="U63" s="226"/>
      <c r="V63" s="226"/>
      <c r="W63" s="226">
        <v>1</v>
      </c>
      <c r="X63" s="249"/>
      <c r="Y63" s="250"/>
    </row>
    <row r="64" spans="2:25" ht="16.5" hidden="1">
      <c r="B64" s="191"/>
      <c r="C64" s="185">
        <v>7</v>
      </c>
      <c r="D64" s="226">
        <f t="shared" si="0"/>
        <v>1148.3</v>
      </c>
      <c r="E64" s="226">
        <v>867</v>
      </c>
      <c r="F64" s="226"/>
      <c r="G64" s="226">
        <v>66.8</v>
      </c>
      <c r="H64" s="226"/>
      <c r="I64" s="226"/>
      <c r="J64" s="226">
        <v>130.3</v>
      </c>
      <c r="K64" s="226"/>
      <c r="L64" s="226"/>
      <c r="M64" s="226"/>
      <c r="N64" s="226"/>
      <c r="O64" s="226"/>
      <c r="P64" s="226">
        <v>83.2</v>
      </c>
      <c r="Q64" s="226"/>
      <c r="R64" s="226"/>
      <c r="S64" s="226"/>
      <c r="T64" s="226"/>
      <c r="U64" s="226"/>
      <c r="V64" s="226"/>
      <c r="W64" s="226">
        <v>1</v>
      </c>
      <c r="X64" s="249"/>
      <c r="Y64" s="250"/>
    </row>
    <row r="65" spans="2:24" ht="16.5" hidden="1">
      <c r="B65" s="191">
        <v>102</v>
      </c>
      <c r="C65" s="185">
        <v>8</v>
      </c>
      <c r="D65" s="226">
        <f t="shared" si="0"/>
        <v>2365.3</v>
      </c>
      <c r="E65" s="226">
        <v>1449.3</v>
      </c>
      <c r="F65" s="226"/>
      <c r="G65" s="226">
        <v>185</v>
      </c>
      <c r="H65" s="226"/>
      <c r="I65" s="226"/>
      <c r="J65" s="226">
        <v>669</v>
      </c>
      <c r="K65" s="226"/>
      <c r="L65" s="226"/>
      <c r="M65" s="226"/>
      <c r="N65" s="226"/>
      <c r="O65" s="226"/>
      <c r="P65" s="226">
        <v>61</v>
      </c>
      <c r="Q65" s="226"/>
      <c r="R65" s="226"/>
      <c r="S65" s="226"/>
      <c r="T65" s="226"/>
      <c r="U65" s="226"/>
      <c r="V65" s="226"/>
      <c r="W65" s="226">
        <v>1</v>
      </c>
      <c r="X65" s="249"/>
    </row>
    <row r="66" spans="2:24" ht="16.5" hidden="1">
      <c r="B66" s="191"/>
      <c r="C66" s="185">
        <v>9</v>
      </c>
      <c r="D66" s="226">
        <f t="shared" si="0"/>
        <v>4315.8</v>
      </c>
      <c r="E66" s="226">
        <v>3229.6</v>
      </c>
      <c r="F66" s="226"/>
      <c r="G66" s="226">
        <v>55.8</v>
      </c>
      <c r="H66" s="226"/>
      <c r="I66" s="226"/>
      <c r="J66" s="226">
        <v>947.9</v>
      </c>
      <c r="K66" s="226"/>
      <c r="L66" s="226"/>
      <c r="M66" s="226"/>
      <c r="N66" s="226"/>
      <c r="O66" s="226"/>
      <c r="P66" s="226">
        <v>82.5</v>
      </c>
      <c r="Q66" s="226"/>
      <c r="R66" s="226"/>
      <c r="S66" s="226"/>
      <c r="T66" s="226"/>
      <c r="U66" s="226"/>
      <c r="V66" s="226"/>
      <c r="W66" s="233">
        <v>0</v>
      </c>
      <c r="X66" s="249"/>
    </row>
    <row r="67" spans="2:24" ht="16.5" hidden="1">
      <c r="B67" s="191"/>
      <c r="C67" s="185">
        <v>10</v>
      </c>
      <c r="D67" s="226">
        <f t="shared" si="0"/>
        <v>5828.700000000001</v>
      </c>
      <c r="E67" s="226">
        <v>4040.3</v>
      </c>
      <c r="F67" s="226" t="s">
        <v>139</v>
      </c>
      <c r="G67" s="226">
        <v>445.1</v>
      </c>
      <c r="H67" s="226"/>
      <c r="I67" s="226"/>
      <c r="J67" s="226">
        <v>1203.2</v>
      </c>
      <c r="K67" s="226"/>
      <c r="L67" s="226"/>
      <c r="M67" s="226"/>
      <c r="N67" s="226"/>
      <c r="O67" s="226"/>
      <c r="P67" s="226">
        <v>139.1</v>
      </c>
      <c r="Q67" s="226"/>
      <c r="R67" s="226"/>
      <c r="S67" s="226"/>
      <c r="T67" s="226"/>
      <c r="U67" s="226"/>
      <c r="V67" s="251"/>
      <c r="W67" s="226">
        <v>1</v>
      </c>
      <c r="X67" s="250"/>
    </row>
    <row r="68" spans="2:24" ht="16.5" hidden="1">
      <c r="B68" s="191">
        <v>102</v>
      </c>
      <c r="C68" s="191">
        <v>11</v>
      </c>
      <c r="D68" s="226">
        <f t="shared" si="0"/>
        <v>5136.2</v>
      </c>
      <c r="E68" s="226">
        <v>2491.5</v>
      </c>
      <c r="F68" s="226"/>
      <c r="G68" s="226">
        <v>313</v>
      </c>
      <c r="H68" s="226"/>
      <c r="I68" s="226"/>
      <c r="J68" s="226">
        <v>997.5</v>
      </c>
      <c r="K68" s="226"/>
      <c r="L68" s="226"/>
      <c r="M68" s="226"/>
      <c r="N68" s="226"/>
      <c r="O68" s="226"/>
      <c r="P68" s="226">
        <v>1333.7</v>
      </c>
      <c r="Q68" s="226"/>
      <c r="R68" s="226"/>
      <c r="S68" s="226"/>
      <c r="T68" s="226"/>
      <c r="U68" s="226"/>
      <c r="V68" s="251"/>
      <c r="W68" s="226">
        <v>0.5</v>
      </c>
      <c r="X68" s="250"/>
    </row>
    <row r="69" spans="2:24" ht="17.25" hidden="1" thickBot="1">
      <c r="B69" s="197"/>
      <c r="C69" s="186">
        <v>12</v>
      </c>
      <c r="D69" s="228">
        <f>SUM(E69:W69)</f>
        <v>5521.8</v>
      </c>
      <c r="E69" s="228">
        <v>2637.3</v>
      </c>
      <c r="F69" s="252"/>
      <c r="G69" s="252">
        <v>284.5</v>
      </c>
      <c r="H69" s="252"/>
      <c r="I69" s="252"/>
      <c r="J69" s="252">
        <v>928.8</v>
      </c>
      <c r="K69" s="252"/>
      <c r="L69" s="252"/>
      <c r="M69" s="252"/>
      <c r="N69" s="252"/>
      <c r="O69" s="252"/>
      <c r="P69" s="252">
        <v>1670.7</v>
      </c>
      <c r="Q69" s="252"/>
      <c r="R69" s="252"/>
      <c r="S69" s="252"/>
      <c r="T69" s="252"/>
      <c r="U69" s="252"/>
      <c r="V69" s="253"/>
      <c r="W69" s="228">
        <v>0.5</v>
      </c>
      <c r="X69" s="250"/>
    </row>
    <row r="70" spans="2:23" ht="16.5">
      <c r="B70" s="195">
        <v>103</v>
      </c>
      <c r="C70" s="198">
        <v>1</v>
      </c>
      <c r="D70" s="254">
        <f aca="true" t="shared" si="1" ref="D70:D105">SUM(E70:W70)</f>
        <v>3765.8999999999996</v>
      </c>
      <c r="E70" s="248">
        <v>2151.1</v>
      </c>
      <c r="F70" s="248"/>
      <c r="G70" s="248">
        <v>174.1</v>
      </c>
      <c r="H70" s="248"/>
      <c r="I70" s="248"/>
      <c r="J70" s="248">
        <v>819.4</v>
      </c>
      <c r="K70" s="248"/>
      <c r="L70" s="248"/>
      <c r="M70" s="248"/>
      <c r="N70" s="248"/>
      <c r="O70" s="248"/>
      <c r="P70" s="248">
        <v>620.3</v>
      </c>
      <c r="Q70" s="248"/>
      <c r="R70" s="248"/>
      <c r="S70" s="248"/>
      <c r="T70" s="248"/>
      <c r="U70" s="248"/>
      <c r="V70" s="248"/>
      <c r="W70" s="248">
        <v>1</v>
      </c>
    </row>
    <row r="71" spans="2:23" ht="16.5">
      <c r="B71" s="191"/>
      <c r="C71" s="191">
        <v>2</v>
      </c>
      <c r="D71" s="254">
        <f t="shared" si="1"/>
        <v>2048.2</v>
      </c>
      <c r="E71" s="226">
        <v>1242.1</v>
      </c>
      <c r="F71" s="226"/>
      <c r="G71" s="226">
        <v>97.3</v>
      </c>
      <c r="H71" s="226"/>
      <c r="I71" s="226"/>
      <c r="J71" s="226">
        <v>299.8</v>
      </c>
      <c r="K71" s="226"/>
      <c r="L71" s="226"/>
      <c r="M71" s="226"/>
      <c r="N71" s="226"/>
      <c r="O71" s="226"/>
      <c r="P71" s="226">
        <v>409</v>
      </c>
      <c r="Q71" s="226"/>
      <c r="R71" s="226"/>
      <c r="S71" s="226"/>
      <c r="T71" s="226"/>
      <c r="U71" s="226"/>
      <c r="V71" s="226"/>
      <c r="W71" s="226">
        <v>0</v>
      </c>
    </row>
    <row r="72" spans="2:23" ht="16.5">
      <c r="B72" s="191"/>
      <c r="C72" s="191">
        <v>3</v>
      </c>
      <c r="D72" s="254">
        <f t="shared" si="1"/>
        <v>3008.3999999999996</v>
      </c>
      <c r="E72" s="226">
        <v>1861</v>
      </c>
      <c r="F72" s="226"/>
      <c r="G72" s="226">
        <v>150.2</v>
      </c>
      <c r="H72" s="226"/>
      <c r="I72" s="226"/>
      <c r="J72" s="226">
        <v>557</v>
      </c>
      <c r="K72" s="226"/>
      <c r="L72" s="226"/>
      <c r="M72" s="226"/>
      <c r="N72" s="226"/>
      <c r="O72" s="226"/>
      <c r="P72" s="226">
        <v>440.2</v>
      </c>
      <c r="Q72" s="226"/>
      <c r="R72" s="226"/>
      <c r="S72" s="226"/>
      <c r="T72" s="226"/>
      <c r="U72" s="226"/>
      <c r="V72" s="226"/>
      <c r="W72" s="226">
        <v>0</v>
      </c>
    </row>
    <row r="73" spans="2:23" ht="16.5">
      <c r="B73" s="191"/>
      <c r="C73" s="191">
        <v>4</v>
      </c>
      <c r="D73" s="254">
        <f>SUM(E73:W73)</f>
        <v>3552.1</v>
      </c>
      <c r="E73" s="226">
        <v>1942.7</v>
      </c>
      <c r="F73" s="226"/>
      <c r="G73" s="226">
        <v>138</v>
      </c>
      <c r="H73" s="226"/>
      <c r="I73" s="226"/>
      <c r="J73" s="226">
        <v>478.8</v>
      </c>
      <c r="K73" s="226"/>
      <c r="L73" s="226"/>
      <c r="M73" s="226"/>
      <c r="N73" s="226"/>
      <c r="O73" s="226"/>
      <c r="P73" s="226">
        <v>992.1</v>
      </c>
      <c r="Q73" s="226"/>
      <c r="R73" s="226"/>
      <c r="S73" s="226"/>
      <c r="T73" s="226"/>
      <c r="U73" s="226"/>
      <c r="V73" s="226"/>
      <c r="W73" s="226">
        <v>0.5</v>
      </c>
    </row>
    <row r="74" spans="2:23" ht="16.5">
      <c r="B74" s="191"/>
      <c r="C74" s="191">
        <v>5</v>
      </c>
      <c r="D74" s="254">
        <f t="shared" si="1"/>
        <v>4132.200000000001</v>
      </c>
      <c r="E74" s="226">
        <v>2365.3</v>
      </c>
      <c r="F74" s="226"/>
      <c r="G74" s="226">
        <v>137.7</v>
      </c>
      <c r="H74" s="226"/>
      <c r="I74" s="226"/>
      <c r="J74" s="226">
        <v>556.3</v>
      </c>
      <c r="K74" s="226"/>
      <c r="L74" s="226"/>
      <c r="M74" s="226"/>
      <c r="N74" s="226"/>
      <c r="O74" s="226"/>
      <c r="P74" s="226">
        <v>1072.9</v>
      </c>
      <c r="Q74" s="226"/>
      <c r="R74" s="226"/>
      <c r="S74" s="226"/>
      <c r="T74" s="226"/>
      <c r="U74" s="226"/>
      <c r="V74" s="226"/>
      <c r="W74" s="226">
        <v>0</v>
      </c>
    </row>
    <row r="75" spans="2:23" ht="16.5">
      <c r="B75" s="191"/>
      <c r="C75" s="191">
        <v>6</v>
      </c>
      <c r="D75" s="254">
        <f t="shared" si="1"/>
        <v>3356.4</v>
      </c>
      <c r="E75" s="226">
        <v>1906.3</v>
      </c>
      <c r="F75" s="226"/>
      <c r="G75" s="226">
        <v>192.5</v>
      </c>
      <c r="H75" s="226"/>
      <c r="I75" s="226"/>
      <c r="J75" s="226">
        <v>494.6</v>
      </c>
      <c r="K75" s="226"/>
      <c r="L75" s="226"/>
      <c r="M75" s="226"/>
      <c r="N75" s="226"/>
      <c r="O75" s="226"/>
      <c r="P75" s="226">
        <v>762</v>
      </c>
      <c r="Q75" s="226"/>
      <c r="R75" s="226"/>
      <c r="S75" s="226"/>
      <c r="T75" s="226"/>
      <c r="U75" s="226"/>
      <c r="V75" s="226"/>
      <c r="W75" s="226">
        <v>1</v>
      </c>
    </row>
    <row r="76" spans="2:23" ht="16.5">
      <c r="B76" s="191"/>
      <c r="C76" s="191">
        <v>7</v>
      </c>
      <c r="D76" s="254">
        <f t="shared" si="1"/>
        <v>1736.1</v>
      </c>
      <c r="E76" s="226">
        <v>816.9</v>
      </c>
      <c r="F76" s="226"/>
      <c r="G76" s="226">
        <v>152.1</v>
      </c>
      <c r="H76" s="226"/>
      <c r="I76" s="226"/>
      <c r="J76" s="226">
        <v>348.1</v>
      </c>
      <c r="K76" s="226"/>
      <c r="L76" s="226"/>
      <c r="M76" s="226"/>
      <c r="N76" s="226"/>
      <c r="O76" s="226"/>
      <c r="P76" s="226">
        <v>418</v>
      </c>
      <c r="Q76" s="226"/>
      <c r="R76" s="226"/>
      <c r="S76" s="226"/>
      <c r="T76" s="226"/>
      <c r="U76" s="226"/>
      <c r="V76" s="226"/>
      <c r="W76" s="226">
        <v>1</v>
      </c>
    </row>
    <row r="77" spans="2:23" ht="16.5">
      <c r="B77" s="191"/>
      <c r="C77" s="191">
        <v>8</v>
      </c>
      <c r="D77" s="254">
        <f t="shared" si="1"/>
        <v>844.2</v>
      </c>
      <c r="E77" s="226">
        <v>457.1</v>
      </c>
      <c r="F77" s="226"/>
      <c r="G77" s="226">
        <v>88.2</v>
      </c>
      <c r="H77" s="226"/>
      <c r="I77" s="226"/>
      <c r="J77" s="226">
        <v>138.4</v>
      </c>
      <c r="K77" s="226"/>
      <c r="L77" s="226"/>
      <c r="M77" s="226"/>
      <c r="N77" s="226"/>
      <c r="O77" s="226"/>
      <c r="P77" s="226">
        <v>160.5</v>
      </c>
      <c r="Q77" s="226"/>
      <c r="R77" s="226"/>
      <c r="S77" s="226"/>
      <c r="T77" s="226"/>
      <c r="U77" s="226"/>
      <c r="V77" s="226"/>
      <c r="W77" s="226">
        <v>0</v>
      </c>
    </row>
    <row r="78" spans="2:23" ht="16.5">
      <c r="B78" s="191"/>
      <c r="C78" s="191">
        <v>9</v>
      </c>
      <c r="D78" s="254">
        <f t="shared" si="1"/>
        <v>2310.8999999999996</v>
      </c>
      <c r="E78" s="226">
        <v>1237.6</v>
      </c>
      <c r="F78" s="226"/>
      <c r="G78" s="226">
        <v>104.8</v>
      </c>
      <c r="H78" s="226"/>
      <c r="I78" s="226"/>
      <c r="J78" s="226">
        <v>358.4</v>
      </c>
      <c r="K78" s="226"/>
      <c r="L78" s="226"/>
      <c r="M78" s="226"/>
      <c r="N78" s="226"/>
      <c r="O78" s="226"/>
      <c r="P78" s="226">
        <v>610.1</v>
      </c>
      <c r="Q78" s="226"/>
      <c r="R78" s="226"/>
      <c r="S78" s="226"/>
      <c r="T78" s="226"/>
      <c r="U78" s="226"/>
      <c r="V78" s="226"/>
      <c r="W78" s="226">
        <v>0</v>
      </c>
    </row>
    <row r="79" spans="2:23" ht="16.5">
      <c r="B79" s="191"/>
      <c r="C79" s="191">
        <v>10</v>
      </c>
      <c r="D79" s="254">
        <f t="shared" si="1"/>
        <v>4087.1</v>
      </c>
      <c r="E79" s="226">
        <v>2233.2</v>
      </c>
      <c r="F79" s="226"/>
      <c r="G79" s="226">
        <v>198.3</v>
      </c>
      <c r="H79" s="226"/>
      <c r="I79" s="226"/>
      <c r="J79" s="226">
        <v>556.5</v>
      </c>
      <c r="K79" s="226"/>
      <c r="L79" s="226"/>
      <c r="M79" s="226"/>
      <c r="N79" s="226"/>
      <c r="O79" s="226"/>
      <c r="P79" s="226">
        <v>1099.1</v>
      </c>
      <c r="Q79" s="226"/>
      <c r="R79" s="226"/>
      <c r="S79" s="226"/>
      <c r="T79" s="226"/>
      <c r="U79" s="226"/>
      <c r="V79" s="226"/>
      <c r="W79" s="226">
        <v>0</v>
      </c>
    </row>
    <row r="80" spans="2:23" ht="16.5">
      <c r="B80" s="191"/>
      <c r="C80" s="191">
        <v>11</v>
      </c>
      <c r="D80" s="254">
        <f t="shared" si="1"/>
        <v>3372.6</v>
      </c>
      <c r="E80" s="226">
        <v>1920.8</v>
      </c>
      <c r="F80" s="226"/>
      <c r="G80" s="226">
        <v>281.7</v>
      </c>
      <c r="H80" s="226"/>
      <c r="I80" s="226"/>
      <c r="J80" s="226">
        <v>458.6</v>
      </c>
      <c r="K80" s="226"/>
      <c r="L80" s="226"/>
      <c r="M80" s="226"/>
      <c r="N80" s="226"/>
      <c r="O80" s="226"/>
      <c r="P80" s="226">
        <v>711.5</v>
      </c>
      <c r="Q80" s="226"/>
      <c r="R80" s="226"/>
      <c r="S80" s="226"/>
      <c r="T80" s="226"/>
      <c r="U80" s="226"/>
      <c r="V80" s="226"/>
      <c r="W80" s="226">
        <v>0</v>
      </c>
    </row>
    <row r="81" spans="2:23" ht="17.25" thickBot="1">
      <c r="B81" s="197"/>
      <c r="C81" s="197">
        <v>12</v>
      </c>
      <c r="D81" s="254">
        <f t="shared" si="1"/>
        <v>3086.3</v>
      </c>
      <c r="E81" s="226">
        <v>1833.2</v>
      </c>
      <c r="F81" s="226"/>
      <c r="G81" s="226">
        <v>182.9</v>
      </c>
      <c r="H81" s="226"/>
      <c r="I81" s="226"/>
      <c r="J81" s="226">
        <v>441.2</v>
      </c>
      <c r="K81" s="226"/>
      <c r="L81" s="226"/>
      <c r="M81" s="226"/>
      <c r="N81" s="226"/>
      <c r="O81" s="226"/>
      <c r="P81" s="226">
        <v>628</v>
      </c>
      <c r="Q81" s="226"/>
      <c r="R81" s="226"/>
      <c r="S81" s="226"/>
      <c r="T81" s="226"/>
      <c r="U81" s="226"/>
      <c r="V81" s="226"/>
      <c r="W81" s="226">
        <v>1</v>
      </c>
    </row>
    <row r="82" spans="2:23" ht="17.25" thickTop="1">
      <c r="B82" s="191" t="s">
        <v>141</v>
      </c>
      <c r="C82" s="191">
        <v>1</v>
      </c>
      <c r="D82" s="254">
        <f t="shared" si="1"/>
        <v>2224.5</v>
      </c>
      <c r="E82" s="248">
        <v>1365.6</v>
      </c>
      <c r="F82" s="248"/>
      <c r="G82" s="248">
        <v>128.5</v>
      </c>
      <c r="H82" s="248"/>
      <c r="I82" s="248"/>
      <c r="J82" s="248">
        <v>291.9</v>
      </c>
      <c r="K82" s="248"/>
      <c r="L82" s="248"/>
      <c r="M82" s="248"/>
      <c r="N82" s="248"/>
      <c r="O82" s="248"/>
      <c r="P82" s="248">
        <v>438.5</v>
      </c>
      <c r="Q82" s="248"/>
      <c r="R82" s="248"/>
      <c r="S82" s="248"/>
      <c r="T82" s="248"/>
      <c r="U82" s="248"/>
      <c r="V82" s="248"/>
      <c r="W82" s="248">
        <v>0</v>
      </c>
    </row>
    <row r="83" spans="2:23" ht="16.5">
      <c r="B83" s="191"/>
      <c r="C83" s="191">
        <v>2</v>
      </c>
      <c r="D83" s="254">
        <f t="shared" si="1"/>
        <v>406.59999999999997</v>
      </c>
      <c r="E83" s="226">
        <v>263.2</v>
      </c>
      <c r="F83" s="226"/>
      <c r="G83" s="226">
        <v>21.2</v>
      </c>
      <c r="H83" s="226"/>
      <c r="I83" s="226"/>
      <c r="J83" s="226">
        <v>45.2</v>
      </c>
      <c r="K83" s="226"/>
      <c r="L83" s="226"/>
      <c r="M83" s="226"/>
      <c r="N83" s="226"/>
      <c r="O83" s="226"/>
      <c r="P83" s="226">
        <v>76</v>
      </c>
      <c r="Q83" s="226"/>
      <c r="R83" s="226"/>
      <c r="S83" s="226"/>
      <c r="T83" s="226"/>
      <c r="U83" s="226"/>
      <c r="V83" s="226"/>
      <c r="W83" s="226">
        <v>1</v>
      </c>
    </row>
    <row r="84" spans="2:23" ht="16.5">
      <c r="B84" s="191"/>
      <c r="C84" s="191">
        <v>3</v>
      </c>
      <c r="D84" s="254">
        <f t="shared" si="1"/>
        <v>3139.5</v>
      </c>
      <c r="E84" s="226">
        <v>1845.7</v>
      </c>
      <c r="F84" s="226"/>
      <c r="G84" s="226">
        <v>156</v>
      </c>
      <c r="H84" s="226"/>
      <c r="I84" s="226"/>
      <c r="J84" s="226">
        <v>419.6</v>
      </c>
      <c r="K84" s="226"/>
      <c r="L84" s="226"/>
      <c r="M84" s="226"/>
      <c r="N84" s="226"/>
      <c r="O84" s="226"/>
      <c r="P84" s="226">
        <v>718.2</v>
      </c>
      <c r="Q84" s="226"/>
      <c r="R84" s="226"/>
      <c r="S84" s="226"/>
      <c r="T84" s="226"/>
      <c r="U84" s="226"/>
      <c r="V84" s="226"/>
      <c r="W84" s="226">
        <v>0</v>
      </c>
    </row>
    <row r="85" spans="2:23" ht="16.5">
      <c r="B85" s="191"/>
      <c r="C85" s="191">
        <v>4</v>
      </c>
      <c r="D85" s="254">
        <f t="shared" si="1"/>
        <v>3267.5</v>
      </c>
      <c r="E85" s="226">
        <v>1906.1</v>
      </c>
      <c r="F85" s="226"/>
      <c r="G85" s="226">
        <v>151</v>
      </c>
      <c r="H85" s="226"/>
      <c r="I85" s="226"/>
      <c r="J85" s="226">
        <v>428.9</v>
      </c>
      <c r="K85" s="226"/>
      <c r="L85" s="226"/>
      <c r="M85" s="226"/>
      <c r="N85" s="226"/>
      <c r="O85" s="226"/>
      <c r="P85" s="226">
        <v>781.5</v>
      </c>
      <c r="Q85" s="226"/>
      <c r="R85" s="226"/>
      <c r="S85" s="226"/>
      <c r="T85" s="226"/>
      <c r="U85" s="226"/>
      <c r="V85" s="226"/>
      <c r="W85" s="226">
        <v>0</v>
      </c>
    </row>
    <row r="86" spans="2:23" ht="16.5">
      <c r="B86" s="191"/>
      <c r="C86" s="191">
        <v>5</v>
      </c>
      <c r="D86" s="254">
        <f t="shared" si="1"/>
        <v>3630.4</v>
      </c>
      <c r="E86" s="226">
        <v>2059.6</v>
      </c>
      <c r="F86" s="226"/>
      <c r="G86" s="226">
        <v>122.6</v>
      </c>
      <c r="H86" s="226"/>
      <c r="I86" s="226"/>
      <c r="J86" s="226">
        <v>478.3</v>
      </c>
      <c r="K86" s="226"/>
      <c r="L86" s="226"/>
      <c r="M86" s="226"/>
      <c r="N86" s="226"/>
      <c r="O86" s="226"/>
      <c r="P86" s="226">
        <v>969.9</v>
      </c>
      <c r="Q86" s="226"/>
      <c r="R86" s="226"/>
      <c r="S86" s="226"/>
      <c r="T86" s="226"/>
      <c r="U86" s="226"/>
      <c r="V86" s="226"/>
      <c r="W86" s="226"/>
    </row>
    <row r="87" spans="2:23" ht="16.5">
      <c r="B87" s="191"/>
      <c r="C87" s="191">
        <v>6</v>
      </c>
      <c r="D87" s="254">
        <f t="shared" si="1"/>
        <v>3369.9</v>
      </c>
      <c r="E87" s="226">
        <v>1935.3</v>
      </c>
      <c r="F87" s="226"/>
      <c r="G87" s="226">
        <v>158</v>
      </c>
      <c r="H87" s="226"/>
      <c r="I87" s="226"/>
      <c r="J87" s="226">
        <v>447.6</v>
      </c>
      <c r="K87" s="226"/>
      <c r="L87" s="226"/>
      <c r="M87" s="226"/>
      <c r="N87" s="226"/>
      <c r="O87" s="226"/>
      <c r="P87" s="226">
        <v>829</v>
      </c>
      <c r="Q87" s="226"/>
      <c r="R87" s="226"/>
      <c r="S87" s="226"/>
      <c r="T87" s="226"/>
      <c r="U87" s="226"/>
      <c r="V87" s="226"/>
      <c r="W87" s="226"/>
    </row>
    <row r="88" spans="2:23" ht="16.5">
      <c r="B88" s="191"/>
      <c r="C88" s="191">
        <v>7</v>
      </c>
      <c r="D88" s="254">
        <f t="shared" si="1"/>
        <v>887.3000000000001</v>
      </c>
      <c r="E88" s="226">
        <v>566.2</v>
      </c>
      <c r="F88" s="226"/>
      <c r="G88" s="226">
        <v>70</v>
      </c>
      <c r="H88" s="226"/>
      <c r="I88" s="226"/>
      <c r="J88" s="226">
        <v>130.1</v>
      </c>
      <c r="K88" s="226"/>
      <c r="L88" s="226"/>
      <c r="M88" s="226"/>
      <c r="N88" s="226"/>
      <c r="O88" s="226"/>
      <c r="P88" s="226">
        <v>121</v>
      </c>
      <c r="Q88" s="226"/>
      <c r="R88" s="226"/>
      <c r="S88" s="226"/>
      <c r="T88" s="226"/>
      <c r="U88" s="226"/>
      <c r="V88" s="226"/>
      <c r="W88" s="226"/>
    </row>
    <row r="89" spans="2:23" ht="16.5">
      <c r="B89" s="191"/>
      <c r="C89" s="191">
        <v>8</v>
      </c>
      <c r="D89" s="254">
        <f t="shared" si="1"/>
        <v>872.5999999999999</v>
      </c>
      <c r="E89" s="226">
        <v>544</v>
      </c>
      <c r="F89" s="226"/>
      <c r="G89" s="226">
        <v>38.8</v>
      </c>
      <c r="H89" s="226"/>
      <c r="I89" s="226"/>
      <c r="J89" s="226">
        <v>149.3</v>
      </c>
      <c r="K89" s="226"/>
      <c r="L89" s="226"/>
      <c r="M89" s="226"/>
      <c r="N89" s="226"/>
      <c r="O89" s="226"/>
      <c r="P89" s="226">
        <v>140.5</v>
      </c>
      <c r="Q89" s="226"/>
      <c r="R89" s="226"/>
      <c r="S89" s="226"/>
      <c r="T89" s="226"/>
      <c r="U89" s="226"/>
      <c r="V89" s="226"/>
      <c r="W89" s="226"/>
    </row>
    <row r="90" spans="2:23" ht="16.5">
      <c r="B90" s="191"/>
      <c r="C90" s="191">
        <v>9</v>
      </c>
      <c r="D90" s="254">
        <f t="shared" si="1"/>
        <v>1654.1</v>
      </c>
      <c r="E90" s="226">
        <v>872.8</v>
      </c>
      <c r="F90" s="226"/>
      <c r="G90" s="226">
        <v>96.5</v>
      </c>
      <c r="H90" s="226"/>
      <c r="I90" s="226"/>
      <c r="J90" s="226">
        <v>203.8</v>
      </c>
      <c r="K90" s="226"/>
      <c r="L90" s="226"/>
      <c r="M90" s="226"/>
      <c r="N90" s="226"/>
      <c r="O90" s="226"/>
      <c r="P90" s="226">
        <v>481</v>
      </c>
      <c r="Q90" s="226"/>
      <c r="R90" s="226"/>
      <c r="S90" s="226"/>
      <c r="T90" s="226"/>
      <c r="U90" s="226"/>
      <c r="V90" s="226"/>
      <c r="W90" s="226"/>
    </row>
    <row r="91" spans="2:23" ht="16.5">
      <c r="B91" s="191"/>
      <c r="C91" s="191">
        <v>10</v>
      </c>
      <c r="D91" s="254">
        <f t="shared" si="1"/>
        <v>1706.7</v>
      </c>
      <c r="E91" s="226">
        <v>494</v>
      </c>
      <c r="F91" s="226"/>
      <c r="G91" s="226">
        <v>124.4</v>
      </c>
      <c r="H91" s="226"/>
      <c r="I91" s="226"/>
      <c r="J91" s="226">
        <v>423.1</v>
      </c>
      <c r="K91" s="226"/>
      <c r="L91" s="226"/>
      <c r="M91" s="226"/>
      <c r="N91" s="226"/>
      <c r="O91" s="226"/>
      <c r="P91" s="226">
        <v>665.2</v>
      </c>
      <c r="Q91" s="226"/>
      <c r="R91" s="226"/>
      <c r="S91" s="226"/>
      <c r="T91" s="226"/>
      <c r="U91" s="226"/>
      <c r="V91" s="226"/>
      <c r="W91" s="226"/>
    </row>
    <row r="92" spans="2:23" ht="16.5">
      <c r="B92" s="191"/>
      <c r="C92" s="191">
        <v>11</v>
      </c>
      <c r="D92" s="254">
        <f t="shared" si="1"/>
        <v>3071.3</v>
      </c>
      <c r="E92" s="226">
        <v>1821.7</v>
      </c>
      <c r="F92" s="226"/>
      <c r="G92" s="226">
        <v>150.3</v>
      </c>
      <c r="H92" s="226"/>
      <c r="I92" s="226"/>
      <c r="J92" s="226">
        <v>452.9</v>
      </c>
      <c r="K92" s="226"/>
      <c r="L92" s="226"/>
      <c r="M92" s="226"/>
      <c r="N92" s="226"/>
      <c r="O92" s="226"/>
      <c r="P92" s="226">
        <v>646.4</v>
      </c>
      <c r="Q92" s="226"/>
      <c r="R92" s="226"/>
      <c r="S92" s="226"/>
      <c r="T92" s="226"/>
      <c r="U92" s="226"/>
      <c r="V92" s="226"/>
      <c r="W92" s="226"/>
    </row>
    <row r="93" spans="2:23" ht="16.5">
      <c r="B93" s="191"/>
      <c r="C93" s="191">
        <v>12</v>
      </c>
      <c r="D93" s="254">
        <f t="shared" si="1"/>
        <v>3429.9000000000005</v>
      </c>
      <c r="E93" s="226">
        <v>1951.3</v>
      </c>
      <c r="F93" s="226"/>
      <c r="G93" s="226">
        <v>157.1</v>
      </c>
      <c r="H93" s="226"/>
      <c r="I93" s="226"/>
      <c r="J93" s="226">
        <v>450.8</v>
      </c>
      <c r="K93" s="226"/>
      <c r="L93" s="226"/>
      <c r="M93" s="226"/>
      <c r="N93" s="226"/>
      <c r="O93" s="226"/>
      <c r="P93" s="226">
        <v>870.7</v>
      </c>
      <c r="Q93" s="226"/>
      <c r="R93" s="226"/>
      <c r="S93" s="226"/>
      <c r="T93" s="226"/>
      <c r="U93" s="226"/>
      <c r="V93" s="226"/>
      <c r="W93" s="226"/>
    </row>
    <row r="94" spans="2:23" ht="16.5">
      <c r="B94" s="191" t="s">
        <v>144</v>
      </c>
      <c r="C94" s="191">
        <v>1</v>
      </c>
      <c r="D94" s="254">
        <f t="shared" si="1"/>
        <v>828.8</v>
      </c>
      <c r="E94" s="248">
        <v>458.9</v>
      </c>
      <c r="F94" s="248"/>
      <c r="G94" s="248">
        <v>34</v>
      </c>
      <c r="H94" s="248"/>
      <c r="I94" s="248"/>
      <c r="J94" s="248">
        <v>152.9</v>
      </c>
      <c r="K94" s="248"/>
      <c r="L94" s="248"/>
      <c r="M94" s="248"/>
      <c r="N94" s="248"/>
      <c r="O94" s="248"/>
      <c r="P94" s="248">
        <v>183</v>
      </c>
      <c r="Q94" s="248"/>
      <c r="R94" s="248"/>
      <c r="S94" s="248"/>
      <c r="T94" s="248"/>
      <c r="U94" s="248"/>
      <c r="V94" s="248"/>
      <c r="W94" s="248"/>
    </row>
    <row r="95" spans="2:23" ht="16.5">
      <c r="B95" s="191"/>
      <c r="C95" s="191">
        <v>2</v>
      </c>
      <c r="D95" s="254">
        <f t="shared" si="1"/>
        <v>593.3</v>
      </c>
      <c r="E95" s="226">
        <v>312</v>
      </c>
      <c r="F95" s="226"/>
      <c r="G95" s="226">
        <v>29.8</v>
      </c>
      <c r="H95" s="226"/>
      <c r="I95" s="226"/>
      <c r="J95" s="226">
        <v>62.8</v>
      </c>
      <c r="K95" s="226"/>
      <c r="L95" s="226"/>
      <c r="M95" s="226"/>
      <c r="N95" s="226"/>
      <c r="O95" s="226"/>
      <c r="P95" s="226">
        <v>188.7</v>
      </c>
      <c r="Q95" s="226"/>
      <c r="R95" s="226"/>
      <c r="S95" s="226"/>
      <c r="T95" s="226"/>
      <c r="U95" s="226"/>
      <c r="V95" s="226"/>
      <c r="W95" s="226"/>
    </row>
    <row r="96" spans="2:23" ht="16.5">
      <c r="B96" s="191"/>
      <c r="C96" s="191">
        <v>3</v>
      </c>
      <c r="D96" s="254">
        <f t="shared" si="1"/>
        <v>2720.4</v>
      </c>
      <c r="E96" s="226">
        <v>1167.4</v>
      </c>
      <c r="F96" s="226"/>
      <c r="G96" s="226">
        <v>99.5</v>
      </c>
      <c r="H96" s="226"/>
      <c r="I96" s="226"/>
      <c r="J96" s="226">
        <v>454</v>
      </c>
      <c r="K96" s="226"/>
      <c r="L96" s="226"/>
      <c r="M96" s="226"/>
      <c r="N96" s="226"/>
      <c r="O96" s="226"/>
      <c r="P96" s="226">
        <v>999.5</v>
      </c>
      <c r="Q96" s="226"/>
      <c r="R96" s="226"/>
      <c r="S96" s="226"/>
      <c r="T96" s="226"/>
      <c r="U96" s="226"/>
      <c r="V96" s="226"/>
      <c r="W96" s="226"/>
    </row>
    <row r="97" spans="2:23" ht="16.5">
      <c r="B97" s="191"/>
      <c r="C97" s="191">
        <v>4</v>
      </c>
      <c r="D97" s="254">
        <f t="shared" si="1"/>
        <v>1851.6000000000001</v>
      </c>
      <c r="E97" s="226">
        <v>855</v>
      </c>
      <c r="F97" s="226"/>
      <c r="G97" s="226">
        <v>76</v>
      </c>
      <c r="H97" s="226"/>
      <c r="I97" s="226"/>
      <c r="J97" s="226">
        <v>262.4</v>
      </c>
      <c r="K97" s="226"/>
      <c r="L97" s="226"/>
      <c r="M97" s="226"/>
      <c r="N97" s="226"/>
      <c r="O97" s="226"/>
      <c r="P97" s="226">
        <v>658.2</v>
      </c>
      <c r="Q97" s="226"/>
      <c r="R97" s="226"/>
      <c r="S97" s="226"/>
      <c r="T97" s="226"/>
      <c r="U97" s="226"/>
      <c r="V97" s="226"/>
      <c r="W97" s="226"/>
    </row>
    <row r="98" spans="2:23" ht="16.5">
      <c r="B98" s="191"/>
      <c r="C98" s="191">
        <v>5</v>
      </c>
      <c r="D98" s="254">
        <f t="shared" si="1"/>
        <v>2498.4</v>
      </c>
      <c r="E98" s="226">
        <v>998.3</v>
      </c>
      <c r="F98" s="226"/>
      <c r="G98" s="226">
        <v>158.2</v>
      </c>
      <c r="H98" s="226"/>
      <c r="I98" s="226"/>
      <c r="J98" s="226">
        <v>462.9</v>
      </c>
      <c r="K98" s="226"/>
      <c r="L98" s="226"/>
      <c r="M98" s="226"/>
      <c r="N98" s="226"/>
      <c r="O98" s="226"/>
      <c r="P98" s="226">
        <v>879</v>
      </c>
      <c r="Q98" s="226"/>
      <c r="R98" s="226"/>
      <c r="S98" s="226"/>
      <c r="T98" s="226"/>
      <c r="U98" s="226"/>
      <c r="V98" s="226"/>
      <c r="W98" s="226"/>
    </row>
    <row r="99" spans="2:23" ht="16.5">
      <c r="B99" s="191"/>
      <c r="C99" s="191">
        <v>6</v>
      </c>
      <c r="D99" s="254">
        <f t="shared" si="1"/>
        <v>1230.6000000000001</v>
      </c>
      <c r="E99" s="226">
        <v>599.1</v>
      </c>
      <c r="F99" s="226"/>
      <c r="G99" s="226">
        <v>74.2</v>
      </c>
      <c r="H99" s="226"/>
      <c r="I99" s="226"/>
      <c r="J99" s="226">
        <v>196.6</v>
      </c>
      <c r="K99" s="226"/>
      <c r="L99" s="226"/>
      <c r="M99" s="226"/>
      <c r="N99" s="226"/>
      <c r="O99" s="226"/>
      <c r="P99" s="226">
        <v>358.7</v>
      </c>
      <c r="Q99" s="226"/>
      <c r="R99" s="226"/>
      <c r="S99" s="226"/>
      <c r="T99" s="226"/>
      <c r="U99" s="226"/>
      <c r="V99" s="226"/>
      <c r="W99" s="226">
        <v>2</v>
      </c>
    </row>
    <row r="100" spans="2:23" ht="16.5">
      <c r="B100" s="191"/>
      <c r="C100" s="191">
        <v>7</v>
      </c>
      <c r="D100" s="254">
        <f t="shared" si="1"/>
        <v>740.9</v>
      </c>
      <c r="E100" s="226">
        <v>513.8</v>
      </c>
      <c r="F100" s="226"/>
      <c r="G100" s="226">
        <v>10.7</v>
      </c>
      <c r="H100" s="226"/>
      <c r="I100" s="226"/>
      <c r="J100" s="226">
        <v>76.8</v>
      </c>
      <c r="K100" s="226"/>
      <c r="L100" s="226"/>
      <c r="M100" s="226"/>
      <c r="N100" s="226"/>
      <c r="O100" s="226"/>
      <c r="P100" s="226">
        <v>139.6</v>
      </c>
      <c r="Q100" s="226"/>
      <c r="R100" s="226"/>
      <c r="S100" s="226"/>
      <c r="T100" s="226"/>
      <c r="U100" s="226"/>
      <c r="V100" s="226"/>
      <c r="W100" s="226"/>
    </row>
    <row r="101" spans="2:23" ht="16.5">
      <c r="B101" s="191"/>
      <c r="C101" s="191">
        <v>8</v>
      </c>
      <c r="D101" s="254">
        <f t="shared" si="1"/>
        <v>897.0999999999999</v>
      </c>
      <c r="E101" s="226">
        <v>581.8</v>
      </c>
      <c r="F101" s="226"/>
      <c r="G101" s="226">
        <v>17.3</v>
      </c>
      <c r="H101" s="226"/>
      <c r="I101" s="226"/>
      <c r="J101" s="226">
        <v>133.5</v>
      </c>
      <c r="K101" s="226"/>
      <c r="L101" s="226"/>
      <c r="M101" s="226"/>
      <c r="N101" s="226"/>
      <c r="O101" s="226"/>
      <c r="P101" s="226">
        <v>164.5</v>
      </c>
      <c r="Q101" s="226"/>
      <c r="R101" s="226"/>
      <c r="S101" s="226"/>
      <c r="T101" s="226"/>
      <c r="U101" s="226"/>
      <c r="V101" s="226"/>
      <c r="W101" s="226"/>
    </row>
    <row r="102" spans="2:23" ht="16.5">
      <c r="B102" s="191"/>
      <c r="C102" s="191">
        <v>9</v>
      </c>
      <c r="D102" s="254">
        <f t="shared" si="1"/>
        <v>1598.4</v>
      </c>
      <c r="E102" s="226">
        <v>839.7</v>
      </c>
      <c r="G102" s="226">
        <v>88</v>
      </c>
      <c r="H102" s="226"/>
      <c r="I102" s="226"/>
      <c r="J102" s="226">
        <v>243.7</v>
      </c>
      <c r="K102" s="226"/>
      <c r="L102" s="226"/>
      <c r="M102" s="226"/>
      <c r="N102" s="226"/>
      <c r="O102" s="226"/>
      <c r="P102" s="226">
        <v>427</v>
      </c>
      <c r="Q102" s="226"/>
      <c r="R102" s="226"/>
      <c r="S102" s="226"/>
      <c r="T102" s="226"/>
      <c r="U102" s="226"/>
      <c r="V102" s="226"/>
      <c r="W102" s="226"/>
    </row>
    <row r="103" spans="2:23" ht="16.5">
      <c r="B103" s="191"/>
      <c r="C103" s="191">
        <v>10</v>
      </c>
      <c r="D103" s="254">
        <f t="shared" si="1"/>
        <v>1851.7</v>
      </c>
      <c r="E103" s="226">
        <v>1014</v>
      </c>
      <c r="F103" s="226"/>
      <c r="G103" s="226">
        <v>94</v>
      </c>
      <c r="H103" s="226"/>
      <c r="I103" s="226"/>
      <c r="J103" s="226">
        <v>288.2</v>
      </c>
      <c r="K103" s="226"/>
      <c r="L103" s="226"/>
      <c r="M103" s="226"/>
      <c r="N103" s="226"/>
      <c r="O103" s="226"/>
      <c r="P103" s="226">
        <v>455.5</v>
      </c>
      <c r="Q103" s="226"/>
      <c r="R103" s="226"/>
      <c r="S103" s="226"/>
      <c r="T103" s="226"/>
      <c r="U103" s="226"/>
      <c r="V103" s="226"/>
      <c r="W103" s="226"/>
    </row>
    <row r="104" spans="2:23" ht="16.5">
      <c r="B104" s="191"/>
      <c r="C104" s="191">
        <v>11</v>
      </c>
      <c r="D104" s="254">
        <f t="shared" si="1"/>
        <v>2910.7</v>
      </c>
      <c r="E104" s="226">
        <v>1797.3</v>
      </c>
      <c r="F104" s="226"/>
      <c r="G104" s="226">
        <v>115.2</v>
      </c>
      <c r="H104" s="226"/>
      <c r="I104" s="226"/>
      <c r="J104" s="226">
        <v>410.5</v>
      </c>
      <c r="K104" s="226"/>
      <c r="L104" s="226"/>
      <c r="M104" s="226"/>
      <c r="N104" s="226"/>
      <c r="O104" s="226"/>
      <c r="P104" s="226">
        <v>587.7</v>
      </c>
      <c r="Q104" s="226"/>
      <c r="R104" s="226"/>
      <c r="S104" s="226"/>
      <c r="T104" s="226"/>
      <c r="U104" s="226"/>
      <c r="V104" s="226"/>
      <c r="W104" s="226"/>
    </row>
    <row r="105" spans="2:23" ht="16.5">
      <c r="B105" s="191"/>
      <c r="C105" s="191">
        <v>12</v>
      </c>
      <c r="D105" s="254">
        <f t="shared" si="1"/>
        <v>2815.4000000000005</v>
      </c>
      <c r="E105" s="226">
        <v>1617.4</v>
      </c>
      <c r="F105" s="226"/>
      <c r="G105" s="226">
        <v>139.5</v>
      </c>
      <c r="H105" s="226"/>
      <c r="I105" s="226"/>
      <c r="J105" s="226">
        <v>400.8</v>
      </c>
      <c r="K105" s="226"/>
      <c r="L105" s="226"/>
      <c r="M105" s="226"/>
      <c r="N105" s="226"/>
      <c r="O105" s="226"/>
      <c r="P105" s="226">
        <v>657.7</v>
      </c>
      <c r="Q105" s="226"/>
      <c r="R105" s="226"/>
      <c r="S105" s="226"/>
      <c r="T105" s="226"/>
      <c r="U105" s="226"/>
      <c r="V105" s="226"/>
      <c r="W105" s="226"/>
    </row>
    <row r="106" spans="2:23" ht="16.5">
      <c r="B106" s="191" t="s">
        <v>146</v>
      </c>
      <c r="C106" s="191">
        <v>1</v>
      </c>
      <c r="D106" s="254">
        <f aca="true" t="shared" si="2" ref="D106:D117">SUM(E106:W106)</f>
        <v>2290.4</v>
      </c>
      <c r="E106" s="248">
        <v>1653.3</v>
      </c>
      <c r="F106" s="248"/>
      <c r="G106" s="248">
        <v>93.3</v>
      </c>
      <c r="H106" s="248"/>
      <c r="I106" s="248"/>
      <c r="J106" s="248">
        <v>256</v>
      </c>
      <c r="K106" s="248"/>
      <c r="L106" s="248"/>
      <c r="M106" s="248"/>
      <c r="N106" s="248"/>
      <c r="O106" s="248"/>
      <c r="P106" s="248">
        <v>287.8</v>
      </c>
      <c r="Q106" s="248"/>
      <c r="R106" s="248"/>
      <c r="S106" s="248"/>
      <c r="T106" s="248"/>
      <c r="U106" s="248"/>
      <c r="V106" s="248"/>
      <c r="W106" s="248"/>
    </row>
    <row r="107" spans="2:23" ht="16.5">
      <c r="B107" s="191"/>
      <c r="C107" s="191">
        <v>2</v>
      </c>
      <c r="D107" s="254">
        <f t="shared" si="2"/>
        <v>1724.8</v>
      </c>
      <c r="E107" s="226">
        <v>1048</v>
      </c>
      <c r="F107" s="226"/>
      <c r="G107" s="226">
        <v>122.5</v>
      </c>
      <c r="H107" s="226"/>
      <c r="I107" s="226"/>
      <c r="J107" s="226">
        <v>219.3</v>
      </c>
      <c r="K107" s="226"/>
      <c r="L107" s="226"/>
      <c r="M107" s="226"/>
      <c r="N107" s="226"/>
      <c r="O107" s="226"/>
      <c r="P107" s="226">
        <v>335</v>
      </c>
      <c r="Q107" s="226"/>
      <c r="R107" s="226"/>
      <c r="S107" s="226"/>
      <c r="T107" s="226"/>
      <c r="U107" s="226"/>
      <c r="V107" s="226"/>
      <c r="W107" s="226"/>
    </row>
    <row r="108" spans="2:23" ht="16.5">
      <c r="B108" s="191"/>
      <c r="C108" s="191">
        <v>3</v>
      </c>
      <c r="D108" s="254">
        <f t="shared" si="2"/>
        <v>2466.4</v>
      </c>
      <c r="E108" s="226">
        <v>1571</v>
      </c>
      <c r="F108" s="226"/>
      <c r="G108" s="226">
        <v>136.5</v>
      </c>
      <c r="H108" s="226"/>
      <c r="I108" s="226"/>
      <c r="J108" s="226">
        <v>330.9</v>
      </c>
      <c r="K108" s="226"/>
      <c r="L108" s="226"/>
      <c r="M108" s="226"/>
      <c r="N108" s="226"/>
      <c r="O108" s="226"/>
      <c r="P108" s="226">
        <v>428</v>
      </c>
      <c r="Q108" s="226"/>
      <c r="R108" s="226"/>
      <c r="S108" s="226"/>
      <c r="T108" s="226"/>
      <c r="U108" s="226"/>
      <c r="V108" s="226"/>
      <c r="W108" s="226"/>
    </row>
    <row r="109" spans="2:23" ht="16.5">
      <c r="B109" s="191"/>
      <c r="C109" s="191">
        <v>4</v>
      </c>
      <c r="D109" s="254">
        <f t="shared" si="2"/>
        <v>2541</v>
      </c>
      <c r="E109" s="226">
        <v>1640</v>
      </c>
      <c r="F109" s="226"/>
      <c r="G109" s="226">
        <v>122</v>
      </c>
      <c r="H109" s="226"/>
      <c r="I109" s="226"/>
      <c r="J109" s="226">
        <v>341</v>
      </c>
      <c r="K109" s="226"/>
      <c r="L109" s="226"/>
      <c r="M109" s="226"/>
      <c r="N109" s="226"/>
      <c r="O109" s="226"/>
      <c r="P109" s="226">
        <v>437</v>
      </c>
      <c r="Q109" s="226"/>
      <c r="R109" s="226"/>
      <c r="S109" s="226"/>
      <c r="T109" s="226"/>
      <c r="U109" s="226"/>
      <c r="V109" s="226"/>
      <c r="W109" s="226">
        <v>1</v>
      </c>
    </row>
    <row r="110" spans="2:23" ht="16.5">
      <c r="B110" s="191"/>
      <c r="C110" s="191">
        <v>5</v>
      </c>
      <c r="D110" s="254">
        <f t="shared" si="2"/>
        <v>3105.7</v>
      </c>
      <c r="E110" s="226">
        <v>1921.6</v>
      </c>
      <c r="F110" s="226"/>
      <c r="G110" s="226">
        <v>165.1</v>
      </c>
      <c r="H110" s="226"/>
      <c r="I110" s="226"/>
      <c r="J110" s="226">
        <v>428</v>
      </c>
      <c r="K110" s="226"/>
      <c r="L110" s="226"/>
      <c r="M110" s="226"/>
      <c r="N110" s="226"/>
      <c r="O110" s="226"/>
      <c r="P110" s="226">
        <v>591</v>
      </c>
      <c r="Q110" s="226"/>
      <c r="R110" s="226"/>
      <c r="S110" s="226"/>
      <c r="T110" s="226"/>
      <c r="U110" s="226"/>
      <c r="V110" s="226"/>
      <c r="W110" s="226"/>
    </row>
    <row r="111" spans="2:23" ht="16.5">
      <c r="B111" s="191"/>
      <c r="C111" s="191">
        <v>6</v>
      </c>
      <c r="D111" s="254">
        <f t="shared" si="2"/>
        <v>4460.5</v>
      </c>
      <c r="E111" s="226">
        <v>3743</v>
      </c>
      <c r="F111" s="226"/>
      <c r="G111" s="226">
        <v>133</v>
      </c>
      <c r="H111" s="226"/>
      <c r="I111" s="226"/>
      <c r="J111" s="226">
        <v>288.5</v>
      </c>
      <c r="K111" s="226"/>
      <c r="L111" s="226"/>
      <c r="M111" s="226"/>
      <c r="N111" s="226"/>
      <c r="O111" s="226"/>
      <c r="P111" s="226">
        <v>296</v>
      </c>
      <c r="Q111" s="226"/>
      <c r="R111" s="226"/>
      <c r="S111" s="226"/>
      <c r="T111" s="226"/>
      <c r="U111" s="226"/>
      <c r="V111" s="226"/>
      <c r="W111" s="226"/>
    </row>
    <row r="112" spans="2:23" ht="16.5">
      <c r="B112" s="191"/>
      <c r="C112" s="191">
        <v>7</v>
      </c>
      <c r="D112" s="254">
        <f t="shared" si="2"/>
        <v>1141.5</v>
      </c>
      <c r="E112" s="226">
        <v>856.5</v>
      </c>
      <c r="F112" s="226"/>
      <c r="G112" s="226">
        <v>87</v>
      </c>
      <c r="H112" s="226"/>
      <c r="I112" s="226"/>
      <c r="J112" s="226">
        <v>143</v>
      </c>
      <c r="K112" s="226"/>
      <c r="L112" s="226"/>
      <c r="M112" s="226"/>
      <c r="N112" s="226"/>
      <c r="O112" s="226"/>
      <c r="P112" s="226">
        <v>55</v>
      </c>
      <c r="Q112" s="226"/>
      <c r="R112" s="226"/>
      <c r="S112" s="226"/>
      <c r="T112" s="226"/>
      <c r="U112" s="226"/>
      <c r="V112" s="226"/>
      <c r="W112" s="226"/>
    </row>
    <row r="113" spans="2:23" ht="16.5">
      <c r="B113" s="191"/>
      <c r="C113" s="191">
        <v>8</v>
      </c>
      <c r="D113" s="254">
        <f t="shared" si="2"/>
        <v>2025</v>
      </c>
      <c r="E113" s="226">
        <v>1346</v>
      </c>
      <c r="F113" s="226"/>
      <c r="G113" s="226">
        <v>79</v>
      </c>
      <c r="H113" s="226"/>
      <c r="I113" s="226"/>
      <c r="J113" s="226">
        <v>223.5</v>
      </c>
      <c r="K113" s="226"/>
      <c r="L113" s="226"/>
      <c r="M113" s="226"/>
      <c r="N113" s="226"/>
      <c r="O113" s="226"/>
      <c r="P113" s="226">
        <v>376.5</v>
      </c>
      <c r="Q113" s="226"/>
      <c r="R113" s="226"/>
      <c r="S113" s="226"/>
      <c r="T113" s="226"/>
      <c r="U113" s="226"/>
      <c r="V113" s="226"/>
      <c r="W113" s="226"/>
    </row>
    <row r="114" spans="2:23" ht="16.5">
      <c r="B114" s="191"/>
      <c r="C114" s="191">
        <v>9</v>
      </c>
      <c r="D114" s="254">
        <f t="shared" si="2"/>
        <v>2200</v>
      </c>
      <c r="E114" s="226">
        <v>1111.5</v>
      </c>
      <c r="G114" s="226">
        <v>116.5</v>
      </c>
      <c r="H114" s="226"/>
      <c r="I114" s="226"/>
      <c r="J114" s="226">
        <v>351</v>
      </c>
      <c r="K114" s="226"/>
      <c r="L114" s="226"/>
      <c r="M114" s="226"/>
      <c r="N114" s="226"/>
      <c r="O114" s="226"/>
      <c r="P114" s="226">
        <v>621</v>
      </c>
      <c r="Q114" s="226"/>
      <c r="R114" s="226"/>
      <c r="S114" s="226"/>
      <c r="T114" s="226"/>
      <c r="U114" s="226"/>
      <c r="V114" s="226"/>
      <c r="W114" s="226"/>
    </row>
    <row r="115" spans="2:23" ht="16.5">
      <c r="B115" s="191"/>
      <c r="C115" s="191">
        <v>10</v>
      </c>
      <c r="D115" s="254">
        <f t="shared" si="2"/>
        <v>3389.1000000000004</v>
      </c>
      <c r="E115" s="226">
        <v>1832</v>
      </c>
      <c r="F115" s="226"/>
      <c r="G115" s="226">
        <v>256.3</v>
      </c>
      <c r="H115" s="226"/>
      <c r="I115" s="226"/>
      <c r="J115" s="226">
        <v>496.8</v>
      </c>
      <c r="K115" s="226"/>
      <c r="L115" s="226"/>
      <c r="M115" s="226"/>
      <c r="N115" s="226"/>
      <c r="O115" s="226"/>
      <c r="P115" s="226">
        <v>802</v>
      </c>
      <c r="Q115" s="226"/>
      <c r="R115" s="226"/>
      <c r="S115" s="226"/>
      <c r="T115" s="226"/>
      <c r="U115" s="226"/>
      <c r="V115" s="226"/>
      <c r="W115" s="226">
        <v>2</v>
      </c>
    </row>
    <row r="116" spans="2:23" ht="16.5">
      <c r="B116" s="191"/>
      <c r="C116" s="191">
        <v>11</v>
      </c>
      <c r="D116" s="254">
        <f t="shared" si="2"/>
        <v>3434.6</v>
      </c>
      <c r="E116" s="226">
        <v>1677.5</v>
      </c>
      <c r="F116" s="226"/>
      <c r="G116" s="226">
        <v>179.5</v>
      </c>
      <c r="H116" s="226"/>
      <c r="I116" s="226"/>
      <c r="J116" s="226">
        <v>548.6</v>
      </c>
      <c r="K116" s="226"/>
      <c r="L116" s="226"/>
      <c r="M116" s="226"/>
      <c r="N116" s="226"/>
      <c r="O116" s="226"/>
      <c r="P116" s="226">
        <v>1029</v>
      </c>
      <c r="Q116" s="226"/>
      <c r="R116" s="226"/>
      <c r="S116" s="226"/>
      <c r="T116" s="226"/>
      <c r="U116" s="226"/>
      <c r="V116" s="226"/>
      <c r="W116" s="226"/>
    </row>
    <row r="117" spans="2:23" ht="16.5">
      <c r="B117" s="191"/>
      <c r="C117" s="191">
        <v>12</v>
      </c>
      <c r="D117" s="254">
        <f t="shared" si="2"/>
        <v>3425</v>
      </c>
      <c r="E117" s="226">
        <v>1714</v>
      </c>
      <c r="F117" s="226"/>
      <c r="G117" s="226">
        <v>205.5</v>
      </c>
      <c r="H117" s="226"/>
      <c r="I117" s="226"/>
      <c r="J117" s="226">
        <v>499.5</v>
      </c>
      <c r="K117" s="226"/>
      <c r="L117" s="226"/>
      <c r="M117" s="226"/>
      <c r="N117" s="226"/>
      <c r="O117" s="226"/>
      <c r="P117" s="226">
        <v>1006</v>
      </c>
      <c r="Q117" s="226"/>
      <c r="R117" s="226"/>
      <c r="S117" s="226"/>
      <c r="T117" s="226"/>
      <c r="U117" s="226"/>
      <c r="V117" s="226"/>
      <c r="W117" s="226"/>
    </row>
    <row r="118" spans="2:23" ht="16.5">
      <c r="B118" s="191" t="s">
        <v>148</v>
      </c>
      <c r="C118" s="191">
        <v>1</v>
      </c>
      <c r="D118" s="254">
        <f aca="true" t="shared" si="3" ref="D118:D177">SUM(E118:W118)</f>
        <v>3430.5</v>
      </c>
      <c r="E118" s="248">
        <v>2084.5</v>
      </c>
      <c r="F118" s="248"/>
      <c r="G118" s="248">
        <v>172.1</v>
      </c>
      <c r="H118" s="248"/>
      <c r="I118" s="248"/>
      <c r="J118" s="248">
        <v>381.5</v>
      </c>
      <c r="K118" s="248"/>
      <c r="L118" s="248"/>
      <c r="M118" s="248"/>
      <c r="N118" s="248"/>
      <c r="O118" s="248"/>
      <c r="P118" s="248">
        <v>792.4</v>
      </c>
      <c r="Q118" s="248"/>
      <c r="R118" s="248"/>
      <c r="S118" s="248"/>
      <c r="T118" s="248"/>
      <c r="U118" s="248"/>
      <c r="V118" s="248"/>
      <c r="W118" s="248"/>
    </row>
    <row r="119" spans="2:23" ht="16.5">
      <c r="B119" s="191"/>
      <c r="C119" s="191">
        <v>2</v>
      </c>
      <c r="D119" s="254">
        <f t="shared" si="3"/>
        <v>478</v>
      </c>
      <c r="E119" s="226">
        <v>286</v>
      </c>
      <c r="F119" s="226"/>
      <c r="G119" s="226">
        <v>24</v>
      </c>
      <c r="H119" s="226"/>
      <c r="I119" s="226"/>
      <c r="J119" s="226">
        <v>50</v>
      </c>
      <c r="K119" s="226"/>
      <c r="L119" s="226"/>
      <c r="M119" s="226"/>
      <c r="N119" s="226"/>
      <c r="O119" s="226"/>
      <c r="P119" s="226">
        <v>118</v>
      </c>
      <c r="Q119" s="226"/>
      <c r="R119" s="226"/>
      <c r="S119" s="226"/>
      <c r="T119" s="226"/>
      <c r="U119" s="226"/>
      <c r="V119" s="226"/>
      <c r="W119" s="226"/>
    </row>
    <row r="120" spans="2:23" ht="16.5">
      <c r="B120" s="191"/>
      <c r="C120" s="191">
        <v>3</v>
      </c>
      <c r="D120" s="254">
        <f t="shared" si="3"/>
        <v>3289.8</v>
      </c>
      <c r="E120" s="226">
        <v>1716.5</v>
      </c>
      <c r="F120" s="226"/>
      <c r="G120" s="226">
        <v>188.8</v>
      </c>
      <c r="H120" s="226"/>
      <c r="I120" s="226"/>
      <c r="J120" s="226">
        <v>459.5</v>
      </c>
      <c r="K120" s="226"/>
      <c r="L120" s="226"/>
      <c r="M120" s="226"/>
      <c r="N120" s="226"/>
      <c r="O120" s="226"/>
      <c r="P120" s="226">
        <v>925</v>
      </c>
      <c r="Q120" s="226"/>
      <c r="R120" s="226"/>
      <c r="S120" s="226"/>
      <c r="T120" s="226"/>
      <c r="U120" s="226"/>
      <c r="V120" s="226"/>
      <c r="W120" s="226"/>
    </row>
    <row r="121" spans="2:23" ht="16.5">
      <c r="B121" s="191"/>
      <c r="C121" s="191">
        <v>4</v>
      </c>
      <c r="D121" s="254">
        <f t="shared" si="3"/>
        <v>2997.6</v>
      </c>
      <c r="E121" s="226">
        <v>1519.5</v>
      </c>
      <c r="F121" s="226"/>
      <c r="G121" s="226">
        <v>154.5</v>
      </c>
      <c r="H121" s="226"/>
      <c r="I121" s="226"/>
      <c r="J121" s="226">
        <v>446.6</v>
      </c>
      <c r="K121" s="226"/>
      <c r="L121" s="226"/>
      <c r="M121" s="226"/>
      <c r="N121" s="226"/>
      <c r="O121" s="226"/>
      <c r="P121" s="226">
        <v>877</v>
      </c>
      <c r="Q121" s="226"/>
      <c r="R121" s="226"/>
      <c r="S121" s="226"/>
      <c r="T121" s="226"/>
      <c r="U121" s="226"/>
      <c r="V121" s="226"/>
      <c r="W121" s="226"/>
    </row>
    <row r="122" spans="2:23" ht="16.5">
      <c r="B122" s="191"/>
      <c r="C122" s="191">
        <v>5</v>
      </c>
      <c r="D122" s="254">
        <f t="shared" si="3"/>
        <v>3851.2000000000003</v>
      </c>
      <c r="E122" s="226">
        <v>1946.5</v>
      </c>
      <c r="F122" s="226"/>
      <c r="G122" s="226">
        <v>213.3</v>
      </c>
      <c r="H122" s="226"/>
      <c r="I122" s="226"/>
      <c r="J122" s="226">
        <v>575.4</v>
      </c>
      <c r="K122" s="226"/>
      <c r="L122" s="226"/>
      <c r="M122" s="226"/>
      <c r="N122" s="226"/>
      <c r="O122" s="226"/>
      <c r="P122" s="226">
        <v>1116</v>
      </c>
      <c r="Q122" s="226"/>
      <c r="R122" s="226"/>
      <c r="S122" s="226"/>
      <c r="T122" s="226"/>
      <c r="U122" s="226"/>
      <c r="V122" s="226"/>
      <c r="W122" s="226"/>
    </row>
    <row r="123" spans="2:23" ht="16.5">
      <c r="B123" s="191"/>
      <c r="C123" s="191">
        <v>6</v>
      </c>
      <c r="D123" s="254">
        <f t="shared" si="3"/>
        <v>4308.5</v>
      </c>
      <c r="E123" s="226">
        <v>2411</v>
      </c>
      <c r="F123" s="226"/>
      <c r="G123" s="226">
        <v>208.6</v>
      </c>
      <c r="H123" s="226"/>
      <c r="I123" s="226"/>
      <c r="J123" s="226">
        <v>516.3</v>
      </c>
      <c r="K123" s="226"/>
      <c r="L123" s="226"/>
      <c r="M123" s="226"/>
      <c r="N123" s="226"/>
      <c r="O123" s="226"/>
      <c r="P123" s="226">
        <v>1172.6</v>
      </c>
      <c r="Q123" s="226"/>
      <c r="R123" s="226"/>
      <c r="S123" s="226"/>
      <c r="T123" s="226"/>
      <c r="U123" s="226"/>
      <c r="V123" s="226"/>
      <c r="W123" s="226"/>
    </row>
    <row r="124" spans="2:23" ht="16.5">
      <c r="B124" s="191"/>
      <c r="C124" s="191">
        <v>7</v>
      </c>
      <c r="D124" s="254">
        <f t="shared" si="3"/>
        <v>1679</v>
      </c>
      <c r="E124" s="226">
        <v>894</v>
      </c>
      <c r="F124" s="226"/>
      <c r="G124" s="226">
        <v>139</v>
      </c>
      <c r="H124" s="226"/>
      <c r="I124" s="226"/>
      <c r="J124" s="226">
        <v>207</v>
      </c>
      <c r="K124" s="226"/>
      <c r="L124" s="226"/>
      <c r="M124" s="226"/>
      <c r="N124" s="226"/>
      <c r="O124" s="226"/>
      <c r="P124" s="226">
        <v>439</v>
      </c>
      <c r="Q124" s="226"/>
      <c r="R124" s="226"/>
      <c r="S124" s="226"/>
      <c r="T124" s="226"/>
      <c r="U124" s="226"/>
      <c r="V124" s="226"/>
      <c r="W124" s="226"/>
    </row>
    <row r="125" spans="2:23" ht="16.5">
      <c r="B125" s="191"/>
      <c r="C125" s="191">
        <v>8</v>
      </c>
      <c r="D125" s="254">
        <f t="shared" si="3"/>
        <v>1540</v>
      </c>
      <c r="E125" s="226">
        <v>852</v>
      </c>
      <c r="F125" s="226"/>
      <c r="G125" s="226">
        <v>106.5</v>
      </c>
      <c r="H125" s="226"/>
      <c r="I125" s="226"/>
      <c r="J125" s="226">
        <v>229</v>
      </c>
      <c r="K125" s="226"/>
      <c r="L125" s="226"/>
      <c r="M125" s="226"/>
      <c r="N125" s="226"/>
      <c r="O125" s="226"/>
      <c r="P125" s="226">
        <v>352.5</v>
      </c>
      <c r="Q125" s="226"/>
      <c r="R125" s="226"/>
      <c r="S125" s="226"/>
      <c r="T125" s="226"/>
      <c r="U125" s="226"/>
      <c r="V125" s="226"/>
      <c r="W125" s="226"/>
    </row>
    <row r="126" spans="2:23" ht="16.5">
      <c r="B126" s="191"/>
      <c r="C126" s="191">
        <v>9</v>
      </c>
      <c r="D126" s="254">
        <f t="shared" si="3"/>
        <v>3855.1</v>
      </c>
      <c r="E126" s="226">
        <v>2214.4</v>
      </c>
      <c r="G126" s="226">
        <v>198.1</v>
      </c>
      <c r="H126" s="226"/>
      <c r="I126" s="226"/>
      <c r="J126" s="226">
        <v>513.6</v>
      </c>
      <c r="K126" s="226"/>
      <c r="L126" s="226"/>
      <c r="M126" s="226"/>
      <c r="N126" s="226"/>
      <c r="O126" s="226"/>
      <c r="P126" s="226">
        <v>929</v>
      </c>
      <c r="Q126" s="226"/>
      <c r="R126" s="226"/>
      <c r="S126" s="226"/>
      <c r="T126" s="226"/>
      <c r="U126" s="226"/>
      <c r="V126" s="226"/>
      <c r="W126" s="226"/>
    </row>
    <row r="127" spans="2:23" ht="16.5">
      <c r="B127" s="191"/>
      <c r="C127" s="191">
        <v>10</v>
      </c>
      <c r="D127" s="254">
        <f t="shared" si="3"/>
        <v>4448.2</v>
      </c>
      <c r="E127" s="226">
        <v>2011</v>
      </c>
      <c r="F127" s="226"/>
      <c r="G127" s="226">
        <v>1590.8</v>
      </c>
      <c r="H127" s="226"/>
      <c r="I127" s="226"/>
      <c r="J127" s="226">
        <v>532.4</v>
      </c>
      <c r="K127" s="226"/>
      <c r="L127" s="226"/>
      <c r="M127" s="226"/>
      <c r="N127" s="226"/>
      <c r="O127" s="226"/>
      <c r="P127" s="226">
        <v>314</v>
      </c>
      <c r="Q127" s="226"/>
      <c r="R127" s="226"/>
      <c r="S127" s="226"/>
      <c r="T127" s="226"/>
      <c r="U127" s="226"/>
      <c r="V127" s="226"/>
      <c r="W127" s="226"/>
    </row>
    <row r="128" spans="2:23" ht="16.5">
      <c r="B128" s="191"/>
      <c r="C128" s="191">
        <v>11</v>
      </c>
      <c r="D128" s="254">
        <f>SUM(E128:W128)</f>
        <v>2851.3999999999996</v>
      </c>
      <c r="E128" s="254">
        <v>1793.8</v>
      </c>
      <c r="F128" s="226"/>
      <c r="G128" s="226">
        <v>191.1</v>
      </c>
      <c r="H128" s="226"/>
      <c r="I128" s="226"/>
      <c r="J128" s="226">
        <v>529.5</v>
      </c>
      <c r="K128" s="226"/>
      <c r="L128" s="226"/>
      <c r="M128" s="226"/>
      <c r="N128" s="226"/>
      <c r="O128" s="226"/>
      <c r="P128" s="226">
        <v>337</v>
      </c>
      <c r="Q128" s="226"/>
      <c r="R128" s="226"/>
      <c r="S128" s="226"/>
      <c r="T128" s="226"/>
      <c r="U128" s="226"/>
      <c r="V128" s="226"/>
      <c r="W128" s="226"/>
    </row>
    <row r="129" spans="2:23" ht="16.5">
      <c r="B129" s="191"/>
      <c r="C129" s="191">
        <v>12</v>
      </c>
      <c r="D129" s="254">
        <f t="shared" si="3"/>
        <v>2602.8999999999996</v>
      </c>
      <c r="E129" s="254">
        <v>1666.3</v>
      </c>
      <c r="F129" s="226"/>
      <c r="G129" s="226">
        <v>202.6</v>
      </c>
      <c r="H129" s="226"/>
      <c r="I129" s="226"/>
      <c r="J129" s="226">
        <v>503</v>
      </c>
      <c r="K129" s="226"/>
      <c r="L129" s="226"/>
      <c r="M129" s="226"/>
      <c r="N129" s="226"/>
      <c r="O129" s="226"/>
      <c r="P129" s="226">
        <v>231</v>
      </c>
      <c r="Q129" s="226"/>
      <c r="R129" s="226"/>
      <c r="S129" s="226"/>
      <c r="T129" s="226"/>
      <c r="U129" s="226"/>
      <c r="V129" s="226"/>
      <c r="W129" s="226"/>
    </row>
    <row r="130" spans="2:23" ht="16.5">
      <c r="B130" s="191" t="s">
        <v>151</v>
      </c>
      <c r="C130" s="191">
        <v>1</v>
      </c>
      <c r="D130" s="254">
        <f t="shared" si="3"/>
        <v>1796.5</v>
      </c>
      <c r="E130" s="248">
        <v>1259.2</v>
      </c>
      <c r="F130" s="248"/>
      <c r="G130" s="248">
        <v>113.7</v>
      </c>
      <c r="H130" s="248"/>
      <c r="I130" s="248"/>
      <c r="J130" s="248">
        <v>186.1</v>
      </c>
      <c r="K130" s="248"/>
      <c r="L130" s="248"/>
      <c r="M130" s="248"/>
      <c r="N130" s="248"/>
      <c r="O130" s="248"/>
      <c r="P130" s="248">
        <v>237.5</v>
      </c>
      <c r="Q130" s="248"/>
      <c r="R130" s="248"/>
      <c r="S130" s="248"/>
      <c r="T130" s="248"/>
      <c r="U130" s="248"/>
      <c r="V130" s="248"/>
      <c r="W130" s="248"/>
    </row>
    <row r="131" spans="2:23" ht="16.5">
      <c r="B131" s="191"/>
      <c r="C131" s="191">
        <v>2</v>
      </c>
      <c r="D131" s="254">
        <f t="shared" si="3"/>
        <v>776.6</v>
      </c>
      <c r="E131" s="226">
        <v>488.2</v>
      </c>
      <c r="F131" s="226"/>
      <c r="G131" s="226">
        <v>58</v>
      </c>
      <c r="H131" s="226"/>
      <c r="I131" s="226"/>
      <c r="J131" s="226">
        <v>155.4</v>
      </c>
      <c r="K131" s="226"/>
      <c r="L131" s="226"/>
      <c r="M131" s="226"/>
      <c r="N131" s="226"/>
      <c r="O131" s="226"/>
      <c r="P131" s="226">
        <v>75</v>
      </c>
      <c r="Q131" s="226"/>
      <c r="R131" s="226"/>
      <c r="S131" s="226"/>
      <c r="T131" s="226"/>
      <c r="U131" s="226"/>
      <c r="V131" s="226"/>
      <c r="W131" s="226"/>
    </row>
    <row r="132" spans="2:23" ht="16.5">
      <c r="B132" s="191"/>
      <c r="C132" s="191">
        <v>3</v>
      </c>
      <c r="D132" s="254">
        <f t="shared" si="3"/>
        <v>3219</v>
      </c>
      <c r="E132" s="226">
        <v>1968.1</v>
      </c>
      <c r="F132" s="226"/>
      <c r="G132" s="226">
        <v>246</v>
      </c>
      <c r="H132" s="226"/>
      <c r="I132" s="226"/>
      <c r="J132" s="226">
        <v>624.9</v>
      </c>
      <c r="K132" s="226"/>
      <c r="L132" s="226"/>
      <c r="M132" s="226"/>
      <c r="N132" s="226"/>
      <c r="O132" s="226"/>
      <c r="P132" s="226">
        <v>380</v>
      </c>
      <c r="Q132" s="226"/>
      <c r="R132" s="226"/>
      <c r="S132" s="226"/>
      <c r="T132" s="226"/>
      <c r="U132" s="226"/>
      <c r="V132" s="226"/>
      <c r="W132" s="226"/>
    </row>
    <row r="133" spans="2:23" ht="16.5">
      <c r="B133" s="191"/>
      <c r="C133" s="191">
        <v>4</v>
      </c>
      <c r="D133" s="254">
        <f t="shared" si="3"/>
        <v>2115.9</v>
      </c>
      <c r="E133" s="226">
        <v>1214.4</v>
      </c>
      <c r="F133" s="226"/>
      <c r="G133" s="226">
        <v>188.4</v>
      </c>
      <c r="H133" s="226"/>
      <c r="I133" s="226"/>
      <c r="J133" s="226">
        <v>465.09999999999997</v>
      </c>
      <c r="K133" s="226"/>
      <c r="L133" s="226"/>
      <c r="M133" s="226"/>
      <c r="N133" s="226"/>
      <c r="O133" s="226"/>
      <c r="P133" s="226">
        <v>248</v>
      </c>
      <c r="Q133" s="226"/>
      <c r="R133" s="226"/>
      <c r="S133" s="226"/>
      <c r="T133" s="226"/>
      <c r="U133" s="226"/>
      <c r="V133" s="226"/>
      <c r="W133" s="226"/>
    </row>
    <row r="134" spans="2:23" ht="16.5">
      <c r="B134" s="191"/>
      <c r="C134" s="191">
        <v>5</v>
      </c>
      <c r="D134" s="254">
        <f t="shared" si="3"/>
        <v>2684.7</v>
      </c>
      <c r="E134" s="226">
        <v>1576.1</v>
      </c>
      <c r="F134" s="226"/>
      <c r="G134" s="226">
        <v>183.7</v>
      </c>
      <c r="H134" s="226"/>
      <c r="I134" s="226"/>
      <c r="J134" s="226">
        <v>546.9000000000001</v>
      </c>
      <c r="K134" s="226"/>
      <c r="L134" s="226"/>
      <c r="M134" s="226"/>
      <c r="N134" s="226"/>
      <c r="O134" s="226"/>
      <c r="P134" s="226">
        <v>378</v>
      </c>
      <c r="Q134" s="226"/>
      <c r="R134" s="226"/>
      <c r="S134" s="226"/>
      <c r="T134" s="226"/>
      <c r="U134" s="226"/>
      <c r="V134" s="226"/>
      <c r="W134" s="226"/>
    </row>
    <row r="135" spans="2:23" ht="16.5">
      <c r="B135" s="191"/>
      <c r="C135" s="191">
        <v>6</v>
      </c>
      <c r="D135" s="254">
        <f t="shared" si="3"/>
        <v>4296.3</v>
      </c>
      <c r="E135" s="226">
        <v>2846.1</v>
      </c>
      <c r="F135" s="226"/>
      <c r="G135" s="226">
        <v>247.89999999999998</v>
      </c>
      <c r="H135" s="226"/>
      <c r="I135" s="226"/>
      <c r="J135" s="226">
        <v>504.3</v>
      </c>
      <c r="K135" s="226"/>
      <c r="L135" s="226"/>
      <c r="M135" s="226"/>
      <c r="N135" s="226"/>
      <c r="O135" s="226"/>
      <c r="P135" s="226">
        <v>698</v>
      </c>
      <c r="Q135" s="226"/>
      <c r="R135" s="226"/>
      <c r="S135" s="226"/>
      <c r="T135" s="226"/>
      <c r="U135" s="226"/>
      <c r="V135" s="226"/>
      <c r="W135" s="226"/>
    </row>
    <row r="136" spans="2:23" ht="16.5">
      <c r="B136" s="191"/>
      <c r="C136" s="191">
        <v>7</v>
      </c>
      <c r="D136" s="254">
        <f t="shared" si="3"/>
        <v>885.5999999999999</v>
      </c>
      <c r="E136" s="226">
        <v>649.3</v>
      </c>
      <c r="F136" s="226"/>
      <c r="G136" s="226">
        <v>56.3</v>
      </c>
      <c r="H136" s="226"/>
      <c r="I136" s="226"/>
      <c r="J136" s="226">
        <v>123</v>
      </c>
      <c r="K136" s="226"/>
      <c r="L136" s="226"/>
      <c r="M136" s="226"/>
      <c r="N136" s="226"/>
      <c r="O136" s="226"/>
      <c r="P136" s="226">
        <v>57</v>
      </c>
      <c r="Q136" s="226"/>
      <c r="R136" s="226"/>
      <c r="S136" s="226"/>
      <c r="T136" s="226"/>
      <c r="U136" s="226"/>
      <c r="V136" s="226"/>
      <c r="W136" s="226"/>
    </row>
    <row r="137" spans="2:23" ht="16.5">
      <c r="B137" s="191"/>
      <c r="C137" s="191">
        <v>8</v>
      </c>
      <c r="D137" s="254">
        <f t="shared" si="3"/>
        <v>1285.6</v>
      </c>
      <c r="E137" s="226">
        <v>1033</v>
      </c>
      <c r="F137" s="226"/>
      <c r="G137" s="226">
        <v>37.6</v>
      </c>
      <c r="H137" s="226"/>
      <c r="I137" s="226"/>
      <c r="J137" s="226">
        <v>138</v>
      </c>
      <c r="K137" s="226"/>
      <c r="L137" s="226"/>
      <c r="M137" s="226"/>
      <c r="N137" s="226"/>
      <c r="O137" s="226"/>
      <c r="P137" s="226">
        <v>77</v>
      </c>
      <c r="Q137" s="226"/>
      <c r="R137" s="226"/>
      <c r="S137" s="226"/>
      <c r="T137" s="226"/>
      <c r="U137" s="226"/>
      <c r="V137" s="226"/>
      <c r="W137" s="226"/>
    </row>
    <row r="138" spans="2:23" ht="16.5">
      <c r="B138" s="191"/>
      <c r="C138" s="191">
        <v>9</v>
      </c>
      <c r="D138" s="254">
        <f t="shared" si="3"/>
        <v>2816</v>
      </c>
      <c r="E138" s="226">
        <v>1920.4</v>
      </c>
      <c r="G138" s="226">
        <v>209.5</v>
      </c>
      <c r="H138" s="226"/>
      <c r="I138" s="226"/>
      <c r="J138" s="226">
        <v>423.1</v>
      </c>
      <c r="K138" s="226"/>
      <c r="L138" s="226"/>
      <c r="M138" s="226"/>
      <c r="N138" s="226"/>
      <c r="O138" s="226"/>
      <c r="P138" s="226">
        <v>263</v>
      </c>
      <c r="Q138" s="226"/>
      <c r="R138" s="226"/>
      <c r="S138" s="226"/>
      <c r="T138" s="226"/>
      <c r="U138" s="226"/>
      <c r="V138" s="226"/>
      <c r="W138" s="226"/>
    </row>
    <row r="139" spans="2:23" ht="16.5">
      <c r="B139" s="191"/>
      <c r="C139" s="191">
        <v>10</v>
      </c>
      <c r="D139" s="254">
        <f t="shared" si="3"/>
        <v>2524.2</v>
      </c>
      <c r="E139" s="226">
        <v>1600.1999999999998</v>
      </c>
      <c r="F139" s="226"/>
      <c r="G139" s="226">
        <v>179.29999999999998</v>
      </c>
      <c r="H139" s="226"/>
      <c r="I139" s="226"/>
      <c r="J139" s="226">
        <v>490.70000000000005</v>
      </c>
      <c r="K139" s="226"/>
      <c r="L139" s="226"/>
      <c r="M139" s="226"/>
      <c r="N139" s="226"/>
      <c r="O139" s="226"/>
      <c r="P139" s="226">
        <v>254</v>
      </c>
      <c r="Q139" s="226"/>
      <c r="R139" s="226"/>
      <c r="S139" s="226"/>
      <c r="T139" s="226"/>
      <c r="U139" s="226"/>
      <c r="V139" s="226"/>
      <c r="W139" s="226"/>
    </row>
    <row r="140" spans="2:23" ht="16.5">
      <c r="B140" s="191"/>
      <c r="C140" s="191">
        <v>11</v>
      </c>
      <c r="D140" s="254">
        <f t="shared" si="3"/>
        <v>2753.3</v>
      </c>
      <c r="E140" s="254">
        <v>1752.6</v>
      </c>
      <c r="F140" s="226"/>
      <c r="G140" s="226">
        <v>183.7</v>
      </c>
      <c r="H140" s="226"/>
      <c r="I140" s="226"/>
      <c r="J140" s="226">
        <v>520.0000000000001</v>
      </c>
      <c r="K140" s="226"/>
      <c r="L140" s="226"/>
      <c r="M140" s="226"/>
      <c r="N140" s="226"/>
      <c r="O140" s="226"/>
      <c r="P140" s="226">
        <v>297</v>
      </c>
      <c r="Q140" s="226"/>
      <c r="R140" s="226"/>
      <c r="S140" s="226"/>
      <c r="T140" s="226"/>
      <c r="U140" s="226"/>
      <c r="V140" s="226"/>
      <c r="W140" s="226"/>
    </row>
    <row r="141" spans="2:23" ht="16.5">
      <c r="B141" s="191"/>
      <c r="C141" s="191">
        <v>12</v>
      </c>
      <c r="D141" s="254">
        <f t="shared" si="3"/>
        <v>2735.8</v>
      </c>
      <c r="E141" s="254">
        <v>1681.1</v>
      </c>
      <c r="F141" s="226"/>
      <c r="G141" s="226">
        <v>236.9</v>
      </c>
      <c r="H141" s="226"/>
      <c r="I141" s="226"/>
      <c r="J141" s="226">
        <v>502.79999999999995</v>
      </c>
      <c r="K141" s="226"/>
      <c r="L141" s="226"/>
      <c r="M141" s="226"/>
      <c r="N141" s="226"/>
      <c r="O141" s="226"/>
      <c r="P141" s="226">
        <v>315</v>
      </c>
      <c r="Q141" s="226"/>
      <c r="R141" s="226"/>
      <c r="S141" s="226"/>
      <c r="T141" s="226"/>
      <c r="U141" s="226"/>
      <c r="V141" s="226"/>
      <c r="W141" s="226"/>
    </row>
    <row r="142" spans="2:23" ht="16.5">
      <c r="B142" s="191" t="s">
        <v>152</v>
      </c>
      <c r="C142" s="191">
        <v>1</v>
      </c>
      <c r="D142" s="254">
        <f t="shared" si="3"/>
        <v>1822.4</v>
      </c>
      <c r="E142" s="248">
        <v>1213.7</v>
      </c>
      <c r="F142" s="248"/>
      <c r="G142" s="226">
        <v>132.6</v>
      </c>
      <c r="H142" s="248"/>
      <c r="I142" s="248"/>
      <c r="J142" s="248">
        <v>278.1</v>
      </c>
      <c r="K142" s="248"/>
      <c r="L142" s="248"/>
      <c r="M142" s="248"/>
      <c r="N142" s="248"/>
      <c r="O142" s="248"/>
      <c r="P142" s="248">
        <v>198</v>
      </c>
      <c r="Q142" s="248"/>
      <c r="R142" s="248"/>
      <c r="S142" s="248"/>
      <c r="T142" s="248"/>
      <c r="U142" s="248"/>
      <c r="V142" s="248"/>
      <c r="W142" s="248"/>
    </row>
    <row r="143" spans="2:23" ht="16.5">
      <c r="B143" s="191"/>
      <c r="C143" s="191">
        <v>2</v>
      </c>
      <c r="D143" s="254">
        <f t="shared" si="3"/>
        <v>772.3000000000001</v>
      </c>
      <c r="E143" s="226">
        <v>621.5</v>
      </c>
      <c r="F143" s="226"/>
      <c r="G143" s="226">
        <v>31.6</v>
      </c>
      <c r="H143" s="226"/>
      <c r="I143" s="226"/>
      <c r="J143" s="226">
        <v>76.2</v>
      </c>
      <c r="K143" s="226"/>
      <c r="L143" s="226"/>
      <c r="M143" s="226"/>
      <c r="N143" s="226"/>
      <c r="O143" s="226"/>
      <c r="P143" s="226">
        <v>43</v>
      </c>
      <c r="Q143" s="226"/>
      <c r="R143" s="226"/>
      <c r="S143" s="226"/>
      <c r="T143" s="226"/>
      <c r="U143" s="226"/>
      <c r="V143" s="226"/>
      <c r="W143" s="226"/>
    </row>
    <row r="144" spans="2:23" ht="16.5">
      <c r="B144" s="191"/>
      <c r="C144" s="191">
        <v>3</v>
      </c>
      <c r="D144" s="254">
        <f t="shared" si="3"/>
        <v>2861.8</v>
      </c>
      <c r="E144" s="226">
        <v>1874.4</v>
      </c>
      <c r="F144" s="226"/>
      <c r="G144" s="226">
        <v>203</v>
      </c>
      <c r="H144" s="226"/>
      <c r="I144" s="226"/>
      <c r="J144" s="226">
        <v>433.1</v>
      </c>
      <c r="K144" s="226"/>
      <c r="L144" s="226"/>
      <c r="M144" s="226"/>
      <c r="N144" s="226"/>
      <c r="O144" s="226"/>
      <c r="P144" s="226">
        <v>351.3</v>
      </c>
      <c r="Q144" s="226"/>
      <c r="R144" s="226"/>
      <c r="S144" s="226"/>
      <c r="T144" s="226"/>
      <c r="U144" s="226"/>
      <c r="V144" s="226"/>
      <c r="W144" s="226"/>
    </row>
    <row r="145" spans="2:23" ht="16.5">
      <c r="B145" s="191"/>
      <c r="C145" s="191">
        <v>4</v>
      </c>
      <c r="D145" s="254">
        <f t="shared" si="3"/>
        <v>2640.3999999999996</v>
      </c>
      <c r="E145" s="226">
        <v>1576.6</v>
      </c>
      <c r="F145" s="226"/>
      <c r="G145" s="226">
        <v>203.79999999999998</v>
      </c>
      <c r="H145" s="226"/>
      <c r="I145" s="226"/>
      <c r="J145" s="226">
        <v>473</v>
      </c>
      <c r="K145" s="226"/>
      <c r="L145" s="226"/>
      <c r="M145" s="226"/>
      <c r="N145" s="226"/>
      <c r="O145" s="226"/>
      <c r="P145" s="226">
        <v>387</v>
      </c>
      <c r="Q145" s="226"/>
      <c r="R145" s="226"/>
      <c r="S145" s="226"/>
      <c r="T145" s="226"/>
      <c r="U145" s="226"/>
      <c r="V145" s="226"/>
      <c r="W145" s="226"/>
    </row>
    <row r="146" spans="2:23" ht="16.5">
      <c r="B146" s="191"/>
      <c r="C146" s="191">
        <v>5</v>
      </c>
      <c r="D146" s="254">
        <f t="shared" si="3"/>
        <v>2311</v>
      </c>
      <c r="E146" s="226">
        <v>1444.1</v>
      </c>
      <c r="F146" s="226"/>
      <c r="G146" s="226">
        <v>166.2</v>
      </c>
      <c r="H146" s="226"/>
      <c r="I146" s="226"/>
      <c r="J146" s="226">
        <v>430.70000000000016</v>
      </c>
      <c r="K146" s="226"/>
      <c r="L146" s="226"/>
      <c r="M146" s="226"/>
      <c r="N146" s="226"/>
      <c r="O146" s="226"/>
      <c r="P146" s="226">
        <v>270</v>
      </c>
      <c r="Q146" s="226"/>
      <c r="R146" s="226"/>
      <c r="S146" s="226"/>
      <c r="T146" s="226"/>
      <c r="U146" s="226"/>
      <c r="V146" s="226"/>
      <c r="W146" s="226"/>
    </row>
    <row r="147" spans="2:23" ht="16.5">
      <c r="B147" s="191"/>
      <c r="C147" s="191">
        <v>6</v>
      </c>
      <c r="D147" s="254">
        <f t="shared" si="3"/>
        <v>2978.2</v>
      </c>
      <c r="E147" s="226">
        <v>1717</v>
      </c>
      <c r="F147" s="226"/>
      <c r="G147" s="226">
        <v>230.2</v>
      </c>
      <c r="H147" s="226"/>
      <c r="I147" s="226"/>
      <c r="J147" s="226">
        <v>637</v>
      </c>
      <c r="K147" s="226"/>
      <c r="L147" s="226"/>
      <c r="M147" s="226"/>
      <c r="N147" s="226"/>
      <c r="O147" s="226"/>
      <c r="P147" s="226">
        <v>394</v>
      </c>
      <c r="Q147" s="226"/>
      <c r="R147" s="226"/>
      <c r="S147" s="226"/>
      <c r="T147" s="226"/>
      <c r="U147" s="226"/>
      <c r="V147" s="226"/>
      <c r="W147" s="226"/>
    </row>
    <row r="148" spans="2:23" ht="16.5">
      <c r="B148" s="191"/>
      <c r="C148" s="191">
        <v>7</v>
      </c>
      <c r="D148" s="254">
        <f t="shared" si="3"/>
        <v>1807.2</v>
      </c>
      <c r="E148" s="226">
        <v>1244.9</v>
      </c>
      <c r="F148" s="226"/>
      <c r="G148" s="226">
        <v>110.7</v>
      </c>
      <c r="H148" s="226"/>
      <c r="I148" s="226"/>
      <c r="J148" s="226">
        <v>222.6</v>
      </c>
      <c r="K148" s="226"/>
      <c r="L148" s="226"/>
      <c r="M148" s="226"/>
      <c r="N148" s="226"/>
      <c r="O148" s="226"/>
      <c r="P148" s="226">
        <v>229</v>
      </c>
      <c r="Q148" s="226"/>
      <c r="R148" s="226"/>
      <c r="S148" s="226"/>
      <c r="T148" s="226"/>
      <c r="U148" s="226"/>
      <c r="V148" s="226"/>
      <c r="W148" s="226"/>
    </row>
    <row r="149" spans="2:23" ht="16.5">
      <c r="B149" s="191"/>
      <c r="C149" s="191">
        <v>8</v>
      </c>
      <c r="D149" s="254">
        <f t="shared" si="3"/>
        <v>1011.4000000000001</v>
      </c>
      <c r="E149" s="226">
        <v>791.4000000000001</v>
      </c>
      <c r="F149" s="226"/>
      <c r="G149" s="226">
        <v>51.8</v>
      </c>
      <c r="H149" s="226"/>
      <c r="I149" s="226"/>
      <c r="J149" s="226">
        <v>133.20000000000002</v>
      </c>
      <c r="K149" s="226"/>
      <c r="L149" s="226"/>
      <c r="M149" s="226"/>
      <c r="N149" s="226"/>
      <c r="O149" s="226"/>
      <c r="P149" s="226">
        <v>35</v>
      </c>
      <c r="Q149" s="226"/>
      <c r="R149" s="226"/>
      <c r="S149" s="226"/>
      <c r="T149" s="226"/>
      <c r="U149" s="226"/>
      <c r="V149" s="226"/>
      <c r="W149" s="226"/>
    </row>
    <row r="150" spans="2:23" ht="16.5">
      <c r="B150" s="191"/>
      <c r="C150" s="191">
        <v>9</v>
      </c>
      <c r="D150" s="254">
        <f t="shared" si="3"/>
        <v>2386.2</v>
      </c>
      <c r="E150" s="226">
        <v>1532.5</v>
      </c>
      <c r="G150" s="226">
        <v>171.7</v>
      </c>
      <c r="H150" s="226"/>
      <c r="I150" s="226"/>
      <c r="J150" s="226">
        <v>431</v>
      </c>
      <c r="K150" s="226"/>
      <c r="L150" s="226"/>
      <c r="M150" s="226"/>
      <c r="N150" s="226"/>
      <c r="O150" s="226"/>
      <c r="P150" s="226">
        <v>251</v>
      </c>
      <c r="Q150" s="226"/>
      <c r="R150" s="226"/>
      <c r="S150" s="226"/>
      <c r="T150" s="226"/>
      <c r="U150" s="226"/>
      <c r="V150" s="226"/>
      <c r="W150" s="226"/>
    </row>
    <row r="151" spans="2:23" ht="16.5">
      <c r="B151" s="191"/>
      <c r="C151" s="191">
        <v>10</v>
      </c>
      <c r="D151" s="254">
        <f t="shared" si="3"/>
        <v>2977.5</v>
      </c>
      <c r="E151" s="226">
        <v>1980.3000000000002</v>
      </c>
      <c r="F151" s="226"/>
      <c r="G151" s="226">
        <v>209.2</v>
      </c>
      <c r="H151" s="226"/>
      <c r="I151" s="226"/>
      <c r="J151" s="226">
        <v>539</v>
      </c>
      <c r="K151" s="226"/>
      <c r="L151" s="226"/>
      <c r="M151" s="226"/>
      <c r="N151" s="226"/>
      <c r="O151" s="226"/>
      <c r="P151" s="226">
        <v>249</v>
      </c>
      <c r="Q151" s="226"/>
      <c r="R151" s="226"/>
      <c r="S151" s="226"/>
      <c r="T151" s="226"/>
      <c r="U151" s="226"/>
      <c r="V151" s="226"/>
      <c r="W151" s="226"/>
    </row>
    <row r="152" spans="2:23" ht="16.5">
      <c r="B152" s="191"/>
      <c r="C152" s="191">
        <v>11</v>
      </c>
      <c r="D152" s="254">
        <f t="shared" si="3"/>
        <v>2697.8999999999996</v>
      </c>
      <c r="E152" s="254">
        <v>1732.1</v>
      </c>
      <c r="F152" s="226"/>
      <c r="G152" s="226">
        <v>225.79999999999998</v>
      </c>
      <c r="H152" s="226"/>
      <c r="I152" s="226"/>
      <c r="J152" s="226">
        <v>521</v>
      </c>
      <c r="K152" s="226"/>
      <c r="L152" s="226"/>
      <c r="M152" s="226"/>
      <c r="N152" s="226"/>
      <c r="O152" s="226"/>
      <c r="P152" s="226">
        <v>219</v>
      </c>
      <c r="Q152" s="226"/>
      <c r="R152" s="226"/>
      <c r="S152" s="226"/>
      <c r="T152" s="226"/>
      <c r="U152" s="226"/>
      <c r="V152" s="226"/>
      <c r="W152" s="226"/>
    </row>
    <row r="153" spans="2:23" ht="16.5">
      <c r="B153" s="191"/>
      <c r="C153" s="191">
        <v>12</v>
      </c>
      <c r="D153" s="254">
        <f t="shared" si="3"/>
        <v>2862.4999999999995</v>
      </c>
      <c r="E153" s="254">
        <v>1763.5</v>
      </c>
      <c r="F153" s="226"/>
      <c r="G153" s="226">
        <v>252.1</v>
      </c>
      <c r="H153" s="226"/>
      <c r="I153" s="226"/>
      <c r="J153" s="226">
        <v>560.8</v>
      </c>
      <c r="K153" s="226"/>
      <c r="L153" s="226"/>
      <c r="M153" s="226"/>
      <c r="N153" s="226"/>
      <c r="O153" s="226"/>
      <c r="P153" s="226">
        <v>286.1</v>
      </c>
      <c r="Q153" s="226"/>
      <c r="R153" s="226"/>
      <c r="S153" s="226"/>
      <c r="T153" s="226"/>
      <c r="U153" s="226"/>
      <c r="V153" s="226"/>
      <c r="W153" s="226"/>
    </row>
    <row r="154" spans="2:23" ht="16.5">
      <c r="B154" s="191" t="s">
        <v>153</v>
      </c>
      <c r="C154" s="191">
        <v>1</v>
      </c>
      <c r="D154" s="254">
        <f t="shared" si="3"/>
        <v>2068.3</v>
      </c>
      <c r="E154" s="248">
        <v>1394</v>
      </c>
      <c r="F154" s="226"/>
      <c r="G154" s="248">
        <v>192.6</v>
      </c>
      <c r="H154" s="248"/>
      <c r="I154" s="248"/>
      <c r="J154" s="248">
        <v>333.7</v>
      </c>
      <c r="K154" s="248"/>
      <c r="L154" s="248"/>
      <c r="M154" s="248"/>
      <c r="N154" s="248"/>
      <c r="O154" s="248"/>
      <c r="P154" s="248">
        <v>148</v>
      </c>
      <c r="Q154" s="248"/>
      <c r="R154" s="248"/>
      <c r="S154" s="248"/>
      <c r="T154" s="248"/>
      <c r="U154" s="248"/>
      <c r="V154" s="248"/>
      <c r="W154" s="248"/>
    </row>
    <row r="155" spans="2:23" ht="16.5">
      <c r="B155" s="191"/>
      <c r="C155" s="191">
        <v>2</v>
      </c>
      <c r="D155" s="254">
        <f t="shared" si="3"/>
        <v>1224</v>
      </c>
      <c r="E155" s="226">
        <v>807</v>
      </c>
      <c r="F155" s="226"/>
      <c r="G155" s="226">
        <v>99.7</v>
      </c>
      <c r="H155" s="226"/>
      <c r="I155" s="226"/>
      <c r="J155" s="226">
        <v>198.2</v>
      </c>
      <c r="K155" s="226"/>
      <c r="L155" s="226"/>
      <c r="M155" s="226"/>
      <c r="N155" s="226"/>
      <c r="O155" s="226"/>
      <c r="P155" s="226">
        <v>119.1</v>
      </c>
      <c r="Q155" s="226"/>
      <c r="R155" s="226"/>
      <c r="S155" s="226"/>
      <c r="T155" s="226"/>
      <c r="U155" s="226"/>
      <c r="V155" s="226"/>
      <c r="W155" s="226"/>
    </row>
    <row r="156" spans="2:23" ht="16.5">
      <c r="B156" s="191"/>
      <c r="C156" s="191">
        <v>3</v>
      </c>
      <c r="D156" s="254">
        <f t="shared" si="3"/>
        <v>2837.9</v>
      </c>
      <c r="E156" s="226">
        <v>1592</v>
      </c>
      <c r="F156" s="226"/>
      <c r="G156" s="226">
        <v>208.7</v>
      </c>
      <c r="H156" s="226"/>
      <c r="I156" s="226"/>
      <c r="J156" s="226">
        <v>487.09999999999997</v>
      </c>
      <c r="K156" s="226"/>
      <c r="L156" s="226"/>
      <c r="M156" s="226"/>
      <c r="N156" s="226"/>
      <c r="O156" s="226"/>
      <c r="P156" s="226">
        <v>550.1</v>
      </c>
      <c r="Q156" s="226"/>
      <c r="R156" s="226"/>
      <c r="S156" s="226"/>
      <c r="T156" s="226"/>
      <c r="U156" s="226"/>
      <c r="V156" s="226"/>
      <c r="W156" s="226"/>
    </row>
    <row r="157" spans="2:23" ht="16.5">
      <c r="B157" s="191"/>
      <c r="C157" s="191">
        <v>4</v>
      </c>
      <c r="D157" s="254">
        <f t="shared" si="3"/>
        <v>2632.3</v>
      </c>
      <c r="E157" s="226">
        <v>1578.2</v>
      </c>
      <c r="F157" s="226"/>
      <c r="G157" s="226">
        <v>234.3</v>
      </c>
      <c r="H157" s="226"/>
      <c r="I157" s="226"/>
      <c r="J157" s="226">
        <v>530.8</v>
      </c>
      <c r="K157" s="226"/>
      <c r="L157" s="226"/>
      <c r="M157" s="226"/>
      <c r="N157" s="226"/>
      <c r="O157" s="226"/>
      <c r="P157" s="226">
        <v>289</v>
      </c>
      <c r="Q157" s="226"/>
      <c r="R157" s="226"/>
      <c r="S157" s="226"/>
      <c r="T157" s="226"/>
      <c r="U157" s="226"/>
      <c r="V157" s="226"/>
      <c r="W157" s="226"/>
    </row>
    <row r="158" spans="2:23" ht="16.5">
      <c r="B158" s="191"/>
      <c r="C158" s="191">
        <v>5</v>
      </c>
      <c r="D158" s="254">
        <f t="shared" si="3"/>
        <v>1548.6</v>
      </c>
      <c r="E158" s="226">
        <v>1028.4</v>
      </c>
      <c r="F158" s="226"/>
      <c r="G158" s="226">
        <v>120.80000000000001</v>
      </c>
      <c r="H158" s="226"/>
      <c r="I158" s="226"/>
      <c r="J158" s="226">
        <v>268.4</v>
      </c>
      <c r="K158" s="226"/>
      <c r="L158" s="226"/>
      <c r="M158" s="226"/>
      <c r="N158" s="226"/>
      <c r="O158" s="226"/>
      <c r="P158" s="226">
        <v>131</v>
      </c>
      <c r="Q158" s="226"/>
      <c r="R158" s="226"/>
      <c r="S158" s="226"/>
      <c r="T158" s="226"/>
      <c r="U158" s="226"/>
      <c r="V158" s="226"/>
      <c r="W158" s="226"/>
    </row>
    <row r="159" spans="2:23" ht="16.5">
      <c r="B159" s="191"/>
      <c r="C159" s="191">
        <v>6</v>
      </c>
      <c r="D159" s="254">
        <f t="shared" si="3"/>
        <v>519.8</v>
      </c>
      <c r="E159" s="226">
        <v>374.29999999999995</v>
      </c>
      <c r="F159" s="226"/>
      <c r="G159" s="226">
        <v>35.2</v>
      </c>
      <c r="H159" s="226"/>
      <c r="I159" s="226"/>
      <c r="J159" s="226">
        <v>75.3</v>
      </c>
      <c r="K159" s="226"/>
      <c r="L159" s="226"/>
      <c r="M159" s="226"/>
      <c r="N159" s="226"/>
      <c r="O159" s="226"/>
      <c r="P159" s="226">
        <v>35</v>
      </c>
      <c r="Q159" s="226"/>
      <c r="R159" s="226"/>
      <c r="S159" s="226"/>
      <c r="T159" s="226"/>
      <c r="U159" s="226"/>
      <c r="V159" s="226"/>
      <c r="W159" s="226"/>
    </row>
    <row r="160" spans="2:23" ht="16.5">
      <c r="B160" s="191"/>
      <c r="C160" s="191">
        <v>7</v>
      </c>
      <c r="D160" s="254">
        <f t="shared" si="3"/>
        <v>684.1</v>
      </c>
      <c r="E160" s="226">
        <v>531</v>
      </c>
      <c r="F160" s="226"/>
      <c r="G160" s="226">
        <v>33.6</v>
      </c>
      <c r="H160" s="226"/>
      <c r="I160" s="226"/>
      <c r="J160" s="226">
        <v>78.4</v>
      </c>
      <c r="K160" s="226"/>
      <c r="L160" s="226"/>
      <c r="M160" s="226"/>
      <c r="N160" s="226"/>
      <c r="O160" s="226"/>
      <c r="P160" s="226">
        <v>41.1</v>
      </c>
      <c r="Q160" s="226"/>
      <c r="R160" s="226"/>
      <c r="S160" s="226"/>
      <c r="T160" s="226"/>
      <c r="U160" s="226"/>
      <c r="V160" s="226"/>
      <c r="W160" s="226"/>
    </row>
    <row r="161" spans="2:23" ht="16.5">
      <c r="B161" s="191"/>
      <c r="C161" s="191">
        <v>8</v>
      </c>
      <c r="D161" s="254">
        <f t="shared" si="3"/>
        <v>870.5999999999999</v>
      </c>
      <c r="E161" s="226">
        <v>658.4</v>
      </c>
      <c r="F161" s="226"/>
      <c r="G161" s="226">
        <v>51</v>
      </c>
      <c r="H161" s="226"/>
      <c r="I161" s="226"/>
      <c r="J161" s="226">
        <v>113.19999999999999</v>
      </c>
      <c r="K161" s="226"/>
      <c r="L161" s="226"/>
      <c r="M161" s="226"/>
      <c r="N161" s="226"/>
      <c r="O161" s="226"/>
      <c r="P161" s="226">
        <v>48</v>
      </c>
      <c r="Q161" s="226"/>
      <c r="R161" s="226"/>
      <c r="S161" s="226"/>
      <c r="T161" s="226"/>
      <c r="U161" s="226"/>
      <c r="V161" s="226"/>
      <c r="W161" s="226"/>
    </row>
    <row r="162" spans="2:23" ht="16.5">
      <c r="B162" s="191"/>
      <c r="C162" s="191">
        <v>9</v>
      </c>
      <c r="D162" s="254">
        <f t="shared" si="3"/>
        <v>952.1000000000001</v>
      </c>
      <c r="E162" s="226">
        <v>667.1</v>
      </c>
      <c r="F162" s="226"/>
      <c r="G162" s="226">
        <v>84.7</v>
      </c>
      <c r="H162" s="226"/>
      <c r="I162" s="226"/>
      <c r="J162" s="226">
        <v>133.3</v>
      </c>
      <c r="K162" s="226"/>
      <c r="L162" s="226"/>
      <c r="M162" s="226"/>
      <c r="N162" s="226"/>
      <c r="O162" s="226"/>
      <c r="P162" s="226">
        <v>67</v>
      </c>
      <c r="Q162" s="226"/>
      <c r="R162" s="226"/>
      <c r="S162" s="226"/>
      <c r="T162" s="226"/>
      <c r="U162" s="226"/>
      <c r="V162" s="226"/>
      <c r="W162" s="226"/>
    </row>
    <row r="163" spans="2:23" ht="16.5">
      <c r="B163" s="191"/>
      <c r="C163" s="191">
        <v>10</v>
      </c>
      <c r="D163" s="254">
        <f t="shared" si="3"/>
        <v>2400.7000000000003</v>
      </c>
      <c r="E163" s="226">
        <v>1454.9</v>
      </c>
      <c r="F163" s="226"/>
      <c r="G163" s="226">
        <v>231.7</v>
      </c>
      <c r="H163" s="226"/>
      <c r="I163" s="226"/>
      <c r="J163" s="226">
        <v>483.09999999999997</v>
      </c>
      <c r="K163" s="226"/>
      <c r="L163" s="226"/>
      <c r="M163" s="226"/>
      <c r="N163" s="226"/>
      <c r="O163" s="226"/>
      <c r="P163" s="226">
        <v>231</v>
      </c>
      <c r="Q163" s="226"/>
      <c r="R163" s="226"/>
      <c r="S163" s="226"/>
      <c r="T163" s="226"/>
      <c r="U163" s="226"/>
      <c r="V163" s="226"/>
      <c r="W163" s="226"/>
    </row>
    <row r="164" spans="2:23" ht="16.5">
      <c r="B164" s="191"/>
      <c r="C164" s="191">
        <v>11</v>
      </c>
      <c r="D164" s="254">
        <f t="shared" si="3"/>
        <v>2160.2</v>
      </c>
      <c r="E164" s="254">
        <v>1323.7</v>
      </c>
      <c r="F164" s="226"/>
      <c r="G164" s="226">
        <v>193.2</v>
      </c>
      <c r="H164" s="226"/>
      <c r="I164" s="226"/>
      <c r="J164" s="226">
        <v>467.29999999999995</v>
      </c>
      <c r="K164" s="226"/>
      <c r="L164" s="226"/>
      <c r="M164" s="226"/>
      <c r="N164" s="226"/>
      <c r="O164" s="226"/>
      <c r="P164" s="226">
        <v>176</v>
      </c>
      <c r="Q164" s="226"/>
      <c r="R164" s="226"/>
      <c r="S164" s="226"/>
      <c r="T164" s="226"/>
      <c r="U164" s="226"/>
      <c r="V164" s="226"/>
      <c r="W164" s="226"/>
    </row>
    <row r="165" spans="2:23" ht="16.5">
      <c r="B165" s="191"/>
      <c r="C165" s="191">
        <v>12</v>
      </c>
      <c r="D165" s="254">
        <f t="shared" si="3"/>
        <v>2378.1</v>
      </c>
      <c r="E165" s="254">
        <v>1441</v>
      </c>
      <c r="F165" s="226"/>
      <c r="G165" s="226">
        <v>202.1</v>
      </c>
      <c r="H165" s="226"/>
      <c r="I165" s="226"/>
      <c r="J165" s="226">
        <v>501</v>
      </c>
      <c r="K165" s="226"/>
      <c r="L165" s="226"/>
      <c r="M165" s="226"/>
      <c r="N165" s="226"/>
      <c r="O165" s="226"/>
      <c r="P165" s="226">
        <v>234</v>
      </c>
      <c r="Q165" s="226"/>
      <c r="R165" s="226"/>
      <c r="S165" s="226"/>
      <c r="T165" s="226"/>
      <c r="U165" s="226"/>
      <c r="V165" s="226"/>
      <c r="W165" s="226"/>
    </row>
    <row r="166" spans="2:23" ht="16.5">
      <c r="B166" s="191" t="s">
        <v>154</v>
      </c>
      <c r="C166" s="191">
        <v>1</v>
      </c>
      <c r="D166" s="254">
        <f t="shared" si="3"/>
        <v>1784.6000000000001</v>
      </c>
      <c r="E166" s="248">
        <v>1165.7</v>
      </c>
      <c r="F166" s="248"/>
      <c r="G166" s="248">
        <v>155.7</v>
      </c>
      <c r="H166" s="248"/>
      <c r="J166" s="248">
        <v>330.2</v>
      </c>
      <c r="K166" s="248"/>
      <c r="L166" s="248"/>
      <c r="M166" s="248"/>
      <c r="N166" s="248"/>
      <c r="O166" s="248"/>
      <c r="P166" s="248">
        <v>133</v>
      </c>
      <c r="Q166" s="248"/>
      <c r="R166" s="248"/>
      <c r="S166" s="248"/>
      <c r="T166" s="248"/>
      <c r="U166" s="248"/>
      <c r="V166" s="248"/>
      <c r="W166" s="248"/>
    </row>
    <row r="167" spans="2:23" ht="16.5">
      <c r="B167" s="191"/>
      <c r="C167" s="191">
        <v>2</v>
      </c>
      <c r="D167" s="254">
        <f t="shared" si="3"/>
        <v>0</v>
      </c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</row>
    <row r="168" spans="2:23" ht="16.5">
      <c r="B168" s="191"/>
      <c r="C168" s="191">
        <v>3</v>
      </c>
      <c r="D168" s="254">
        <f t="shared" si="3"/>
        <v>0</v>
      </c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</row>
    <row r="169" spans="2:23" ht="16.5">
      <c r="B169" s="191"/>
      <c r="C169" s="191">
        <v>4</v>
      </c>
      <c r="D169" s="254">
        <f t="shared" si="3"/>
        <v>0</v>
      </c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</row>
    <row r="170" spans="2:23" ht="16.5">
      <c r="B170" s="191"/>
      <c r="C170" s="191">
        <v>5</v>
      </c>
      <c r="D170" s="254">
        <f t="shared" si="3"/>
        <v>0</v>
      </c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</row>
    <row r="171" spans="2:23" ht="16.5">
      <c r="B171" s="191"/>
      <c r="C171" s="191">
        <v>6</v>
      </c>
      <c r="D171" s="254">
        <f t="shared" si="3"/>
        <v>0</v>
      </c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</row>
    <row r="172" spans="2:23" ht="16.5">
      <c r="B172" s="191"/>
      <c r="C172" s="191">
        <v>7</v>
      </c>
      <c r="D172" s="254">
        <f t="shared" si="3"/>
        <v>0</v>
      </c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</row>
    <row r="173" spans="2:23" ht="16.5">
      <c r="B173" s="191"/>
      <c r="C173" s="191">
        <v>8</v>
      </c>
      <c r="D173" s="254">
        <f t="shared" si="3"/>
        <v>0</v>
      </c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</row>
    <row r="174" spans="2:23" ht="16.5">
      <c r="B174" s="191"/>
      <c r="C174" s="191">
        <v>9</v>
      </c>
      <c r="D174" s="254">
        <f t="shared" si="3"/>
        <v>0</v>
      </c>
      <c r="E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</row>
    <row r="175" spans="2:23" ht="16.5">
      <c r="B175" s="191"/>
      <c r="C175" s="191">
        <v>10</v>
      </c>
      <c r="D175" s="254">
        <f t="shared" si="3"/>
        <v>0</v>
      </c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</row>
    <row r="176" spans="2:23" ht="16.5">
      <c r="B176" s="191"/>
      <c r="C176" s="191">
        <v>11</v>
      </c>
      <c r="D176" s="254">
        <f t="shared" si="3"/>
        <v>0</v>
      </c>
      <c r="E176" s="254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</row>
    <row r="177" spans="2:23" ht="16.5">
      <c r="B177" s="191"/>
      <c r="C177" s="191">
        <v>12</v>
      </c>
      <c r="D177" s="254">
        <f t="shared" si="3"/>
        <v>0</v>
      </c>
      <c r="E177" s="254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</row>
  </sheetData>
  <sheetProtection/>
  <printOptions/>
  <pageMargins left="0.25" right="0.25" top="0.75" bottom="0.75" header="0.3" footer="0.3"/>
  <pageSetup horizontalDpi="1200" verticalDpi="12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1:W129"/>
  <sheetViews>
    <sheetView zoomScalePageLayoutView="0" workbookViewId="0" topLeftCell="A1">
      <pane ySplit="2" topLeftCell="A103" activePane="bottomLeft" state="frozen"/>
      <selection pane="topLeft" activeCell="A1" sqref="A1"/>
      <selection pane="bottomLeft" activeCell="V117" sqref="V117"/>
    </sheetView>
  </sheetViews>
  <sheetFormatPr defaultColWidth="8.875" defaultRowHeight="16.5"/>
  <cols>
    <col min="1" max="1" width="4.25390625" style="2" customWidth="1"/>
    <col min="2" max="2" width="6.875" style="2" customWidth="1"/>
    <col min="3" max="3" width="6.75390625" style="8" customWidth="1"/>
    <col min="4" max="22" width="5.75390625" style="8" customWidth="1"/>
    <col min="23" max="16384" width="8.875" style="2" customWidth="1"/>
  </cols>
  <sheetData>
    <row r="1" spans="3:22" s="31" customFormat="1" ht="11.25" thickBot="1"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9">
        <v>0</v>
      </c>
      <c r="M1" s="9">
        <v>1</v>
      </c>
      <c r="N1" s="9">
        <v>2</v>
      </c>
      <c r="O1" s="9">
        <v>3</v>
      </c>
      <c r="P1" s="9">
        <v>4</v>
      </c>
      <c r="Q1" s="9">
        <v>5</v>
      </c>
      <c r="R1" s="9">
        <v>6</v>
      </c>
      <c r="S1" s="9">
        <v>7</v>
      </c>
      <c r="T1" s="9">
        <v>8</v>
      </c>
      <c r="U1" s="9">
        <v>9</v>
      </c>
      <c r="V1" s="9">
        <v>0</v>
      </c>
    </row>
    <row r="2" spans="2:23" ht="63.75" thickTop="1">
      <c r="B2" s="23" t="s">
        <v>46</v>
      </c>
      <c r="C2" s="24" t="s">
        <v>32</v>
      </c>
      <c r="D2" s="25" t="s">
        <v>44</v>
      </c>
      <c r="E2" s="25" t="s">
        <v>43</v>
      </c>
      <c r="F2" s="25" t="s">
        <v>42</v>
      </c>
      <c r="G2" s="26" t="s">
        <v>5</v>
      </c>
      <c r="H2" s="27" t="s">
        <v>36</v>
      </c>
      <c r="I2" s="27" t="s">
        <v>7</v>
      </c>
      <c r="J2" s="27" t="s">
        <v>8</v>
      </c>
      <c r="K2" s="27" t="s">
        <v>38</v>
      </c>
      <c r="L2" s="25" t="s">
        <v>39</v>
      </c>
      <c r="M2" s="25" t="s">
        <v>40</v>
      </c>
      <c r="N2" s="27" t="s">
        <v>41</v>
      </c>
      <c r="O2" s="25" t="s">
        <v>33</v>
      </c>
      <c r="P2" s="25" t="s">
        <v>34</v>
      </c>
      <c r="Q2" s="25" t="s">
        <v>35</v>
      </c>
      <c r="R2" s="27" t="s">
        <v>16</v>
      </c>
      <c r="S2" s="28" t="s">
        <v>37</v>
      </c>
      <c r="T2" s="25" t="s">
        <v>17</v>
      </c>
      <c r="U2" s="28" t="s">
        <v>28</v>
      </c>
      <c r="V2" s="29" t="s">
        <v>45</v>
      </c>
      <c r="W2" s="19"/>
    </row>
    <row r="3" spans="2:23" s="19" customFormat="1" ht="19.5" customHeight="1" hidden="1">
      <c r="B3" s="64">
        <v>6</v>
      </c>
      <c r="C3" s="20">
        <f>SUM(D3:V3)</f>
        <v>1324</v>
      </c>
      <c r="D3" s="21"/>
      <c r="E3" s="21"/>
      <c r="F3" s="21"/>
      <c r="G3" s="21">
        <v>240</v>
      </c>
      <c r="H3" s="21"/>
      <c r="I3" s="21"/>
      <c r="J3" s="21"/>
      <c r="K3" s="21"/>
      <c r="L3" s="21">
        <v>40</v>
      </c>
      <c r="M3" s="21">
        <f>372+468+108+96+0</f>
        <v>1044</v>
      </c>
      <c r="N3" s="21"/>
      <c r="O3" s="21"/>
      <c r="P3" s="21"/>
      <c r="Q3" s="21"/>
      <c r="R3" s="21"/>
      <c r="S3" s="21"/>
      <c r="T3" s="21"/>
      <c r="U3" s="21"/>
      <c r="V3" s="22"/>
      <c r="W3" s="15"/>
    </row>
    <row r="4" spans="2:22" s="15" customFormat="1" ht="19.5" customHeight="1" hidden="1">
      <c r="B4" s="32">
        <v>7</v>
      </c>
      <c r="C4" s="126">
        <f>SUM(D4:V4)</f>
        <v>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7"/>
    </row>
    <row r="5" spans="2:22" s="15" customFormat="1" ht="19.5" customHeight="1" hidden="1">
      <c r="B5" s="32">
        <v>8</v>
      </c>
      <c r="C5" s="18">
        <f aca="true" t="shared" si="0" ref="C5:C68">SUM(D5:V5)</f>
        <v>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7"/>
    </row>
    <row r="6" spans="2:22" s="15" customFormat="1" ht="19.5" customHeight="1" hidden="1">
      <c r="B6" s="32">
        <v>9</v>
      </c>
      <c r="C6" s="18">
        <f>SUM(D6:V6)</f>
        <v>4391</v>
      </c>
      <c r="D6" s="16"/>
      <c r="E6" s="16"/>
      <c r="F6" s="16"/>
      <c r="G6" s="16">
        <v>2000</v>
      </c>
      <c r="H6" s="16"/>
      <c r="I6" s="16"/>
      <c r="J6" s="16"/>
      <c r="K6" s="16"/>
      <c r="L6" s="16">
        <f>12+36+12+40+180</f>
        <v>280</v>
      </c>
      <c r="M6" s="16">
        <f>744+756+168+240+168+35</f>
        <v>2111</v>
      </c>
      <c r="N6" s="16"/>
      <c r="O6" s="16"/>
      <c r="P6" s="16"/>
      <c r="Q6" s="16"/>
      <c r="R6" s="16"/>
      <c r="S6" s="16"/>
      <c r="T6" s="16"/>
      <c r="U6" s="16"/>
      <c r="V6" s="17"/>
    </row>
    <row r="7" spans="2:22" s="15" customFormat="1" ht="19.5" customHeight="1" hidden="1">
      <c r="B7" s="32">
        <v>10</v>
      </c>
      <c r="C7" s="18">
        <f t="shared" si="0"/>
        <v>3628</v>
      </c>
      <c r="D7" s="16"/>
      <c r="E7" s="16"/>
      <c r="F7" s="16"/>
      <c r="G7" s="16">
        <v>200</v>
      </c>
      <c r="H7" s="16"/>
      <c r="I7" s="16"/>
      <c r="J7" s="16"/>
      <c r="K7" s="16"/>
      <c r="L7" s="16">
        <f>24+40+556</f>
        <v>620</v>
      </c>
      <c r="M7" s="16">
        <f>744+1212+420+240+192</f>
        <v>2808</v>
      </c>
      <c r="N7" s="16"/>
      <c r="O7" s="16"/>
      <c r="P7" s="16"/>
      <c r="Q7" s="16"/>
      <c r="R7" s="16"/>
      <c r="S7" s="16"/>
      <c r="T7" s="16"/>
      <c r="U7" s="16"/>
      <c r="V7" s="17"/>
    </row>
    <row r="8" spans="2:22" s="15" customFormat="1" ht="19.5" customHeight="1" hidden="1">
      <c r="B8" s="32">
        <v>11</v>
      </c>
      <c r="C8" s="18">
        <f t="shared" si="0"/>
        <v>1800</v>
      </c>
      <c r="D8" s="16"/>
      <c r="E8" s="16"/>
      <c r="F8" s="16"/>
      <c r="G8" s="16">
        <v>100</v>
      </c>
      <c r="H8" s="16"/>
      <c r="I8" s="16"/>
      <c r="J8" s="16"/>
      <c r="K8" s="16"/>
      <c r="L8" s="16"/>
      <c r="M8" s="16">
        <f>1236+300+132+12+20</f>
        <v>1700</v>
      </c>
      <c r="N8" s="16"/>
      <c r="O8" s="16"/>
      <c r="P8" s="16"/>
      <c r="Q8" s="16"/>
      <c r="R8" s="16"/>
      <c r="S8" s="16"/>
      <c r="T8" s="16"/>
      <c r="U8" s="16"/>
      <c r="V8" s="17"/>
    </row>
    <row r="9" spans="2:22" s="15" customFormat="1" ht="19.5" customHeight="1" hidden="1">
      <c r="B9" s="32">
        <v>12</v>
      </c>
      <c r="C9" s="18">
        <f t="shared" si="0"/>
        <v>1856</v>
      </c>
      <c r="D9" s="16"/>
      <c r="E9" s="16"/>
      <c r="F9" s="16"/>
      <c r="G9" s="16">
        <v>500</v>
      </c>
      <c r="H9" s="16"/>
      <c r="I9" s="16"/>
      <c r="J9" s="16"/>
      <c r="K9" s="16"/>
      <c r="L9" s="16">
        <v>40</v>
      </c>
      <c r="M9" s="16">
        <f>348+528+288+12+140</f>
        <v>1316</v>
      </c>
      <c r="N9" s="16"/>
      <c r="O9" s="16"/>
      <c r="P9" s="16"/>
      <c r="Q9" s="16"/>
      <c r="R9" s="16"/>
      <c r="S9" s="16"/>
      <c r="T9" s="16"/>
      <c r="U9" s="16"/>
      <c r="V9" s="17"/>
    </row>
    <row r="10" spans="2:22" s="15" customFormat="1" ht="19.5" customHeight="1" hidden="1">
      <c r="B10" s="32">
        <v>1</v>
      </c>
      <c r="C10" s="18">
        <f t="shared" si="0"/>
        <v>1400</v>
      </c>
      <c r="D10" s="16"/>
      <c r="E10" s="16"/>
      <c r="F10" s="16"/>
      <c r="G10" s="16">
        <v>500</v>
      </c>
      <c r="H10" s="16"/>
      <c r="I10" s="16"/>
      <c r="J10" s="16"/>
      <c r="K10" s="16"/>
      <c r="L10" s="16"/>
      <c r="M10" s="16">
        <f>168+300+168+48+216</f>
        <v>900</v>
      </c>
      <c r="N10" s="16"/>
      <c r="O10" s="16"/>
      <c r="P10" s="16"/>
      <c r="Q10" s="16"/>
      <c r="R10" s="16"/>
      <c r="S10" s="16"/>
      <c r="T10" s="16"/>
      <c r="U10" s="16"/>
      <c r="V10" s="17"/>
    </row>
    <row r="11" spans="2:22" s="15" customFormat="1" ht="19.5" customHeight="1" hidden="1">
      <c r="B11" s="32">
        <v>2</v>
      </c>
      <c r="C11" s="18">
        <f t="shared" si="0"/>
        <v>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7"/>
    </row>
    <row r="12" spans="2:22" s="15" customFormat="1" ht="19.5" customHeight="1" hidden="1">
      <c r="B12" s="32">
        <v>3</v>
      </c>
      <c r="C12" s="18">
        <f t="shared" si="0"/>
        <v>3996</v>
      </c>
      <c r="D12" s="16"/>
      <c r="E12" s="16"/>
      <c r="F12" s="16"/>
      <c r="G12" s="16">
        <v>660</v>
      </c>
      <c r="H12" s="16"/>
      <c r="I12" s="16"/>
      <c r="J12" s="16"/>
      <c r="K12" s="16"/>
      <c r="L12" s="16">
        <v>60</v>
      </c>
      <c r="M12" s="16">
        <f>1536+1260+444+36</f>
        <v>3276</v>
      </c>
      <c r="N12" s="16"/>
      <c r="O12" s="16"/>
      <c r="P12" s="16"/>
      <c r="Q12" s="16"/>
      <c r="R12" s="16"/>
      <c r="S12" s="16"/>
      <c r="T12" s="16"/>
      <c r="U12" s="16"/>
      <c r="V12" s="17"/>
    </row>
    <row r="13" spans="2:23" s="15" customFormat="1" ht="19.5" customHeight="1" hidden="1">
      <c r="B13" s="32">
        <v>4</v>
      </c>
      <c r="C13" s="18">
        <f t="shared" si="0"/>
        <v>1085</v>
      </c>
      <c r="D13" s="16"/>
      <c r="E13" s="16"/>
      <c r="F13" s="16"/>
      <c r="G13" s="16">
        <v>100</v>
      </c>
      <c r="H13" s="16"/>
      <c r="I13" s="16"/>
      <c r="J13" s="16"/>
      <c r="K13" s="16"/>
      <c r="L13" s="16">
        <f>35+50+312</f>
        <v>397</v>
      </c>
      <c r="M13" s="16">
        <f>252+336+0</f>
        <v>588</v>
      </c>
      <c r="N13" s="16"/>
      <c r="O13" s="16"/>
      <c r="P13" s="16"/>
      <c r="Q13" s="16"/>
      <c r="R13" s="16"/>
      <c r="S13" s="16"/>
      <c r="T13" s="16"/>
      <c r="U13" s="16"/>
      <c r="V13" s="17"/>
      <c r="W13" s="14"/>
    </row>
    <row r="14" spans="2:23" s="14" customFormat="1" ht="19.5" customHeight="1" hidden="1">
      <c r="B14" s="43">
        <v>5</v>
      </c>
      <c r="C14" s="79">
        <f t="shared" si="0"/>
        <v>1593</v>
      </c>
      <c r="D14" s="12"/>
      <c r="E14" s="142"/>
      <c r="F14" s="12"/>
      <c r="G14" s="12">
        <v>500</v>
      </c>
      <c r="H14" s="12"/>
      <c r="I14" s="12"/>
      <c r="J14" s="12"/>
      <c r="K14" s="12"/>
      <c r="L14" s="12">
        <f>204+35+50+60+492</f>
        <v>841</v>
      </c>
      <c r="M14" s="12">
        <v>252</v>
      </c>
      <c r="N14" s="12"/>
      <c r="O14" s="12"/>
      <c r="P14" s="12"/>
      <c r="Q14" s="12"/>
      <c r="R14" s="12"/>
      <c r="S14" s="12"/>
      <c r="T14" s="12"/>
      <c r="U14" s="12"/>
      <c r="V14" s="13"/>
      <c r="W14" s="2"/>
    </row>
    <row r="15" spans="2:22" ht="19.5" customHeight="1" hidden="1">
      <c r="B15" s="33">
        <v>6</v>
      </c>
      <c r="C15" s="11">
        <f t="shared" si="0"/>
        <v>4474</v>
      </c>
      <c r="D15" s="16"/>
      <c r="E15" s="143"/>
      <c r="F15" s="16"/>
      <c r="G15" s="16">
        <v>2270</v>
      </c>
      <c r="H15" s="16"/>
      <c r="I15" s="16"/>
      <c r="J15" s="16"/>
      <c r="K15" s="16"/>
      <c r="L15" s="16">
        <v>1174</v>
      </c>
      <c r="M15" s="16">
        <v>936</v>
      </c>
      <c r="N15" s="16"/>
      <c r="O15" s="16"/>
      <c r="P15" s="16"/>
      <c r="Q15" s="16"/>
      <c r="R15" s="16">
        <v>94</v>
      </c>
      <c r="S15" s="16"/>
      <c r="T15" s="16"/>
      <c r="U15" s="16"/>
      <c r="V15" s="17"/>
    </row>
    <row r="16" spans="2:22" ht="19.5" customHeight="1" hidden="1">
      <c r="B16" s="33">
        <v>7</v>
      </c>
      <c r="C16" s="11">
        <f t="shared" si="0"/>
        <v>10</v>
      </c>
      <c r="D16" s="16">
        <v>10</v>
      </c>
      <c r="E16" s="143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7"/>
    </row>
    <row r="17" spans="2:22" ht="19.5" customHeight="1" hidden="1">
      <c r="B17" s="33">
        <v>8</v>
      </c>
      <c r="C17" s="11">
        <f t="shared" si="0"/>
        <v>12</v>
      </c>
      <c r="D17" s="16">
        <v>12</v>
      </c>
      <c r="E17" s="143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7"/>
    </row>
    <row r="18" spans="2:22" ht="19.5" customHeight="1" hidden="1">
      <c r="B18" s="33">
        <v>9</v>
      </c>
      <c r="C18" s="11">
        <f t="shared" si="0"/>
        <v>2318</v>
      </c>
      <c r="D18" s="62">
        <v>4</v>
      </c>
      <c r="E18" s="143"/>
      <c r="F18" s="62"/>
      <c r="G18" s="62">
        <v>1100</v>
      </c>
      <c r="H18" s="62"/>
      <c r="I18" s="62"/>
      <c r="J18" s="62"/>
      <c r="K18" s="62"/>
      <c r="L18" s="62">
        <v>74</v>
      </c>
      <c r="M18" s="62">
        <v>1116</v>
      </c>
      <c r="N18" s="62"/>
      <c r="O18" s="62"/>
      <c r="P18" s="62"/>
      <c r="Q18" s="62"/>
      <c r="R18" s="62">
        <v>24</v>
      </c>
      <c r="S18" s="62"/>
      <c r="T18" s="62"/>
      <c r="U18" s="62"/>
      <c r="V18" s="63"/>
    </row>
    <row r="19" spans="2:22" ht="19.5" customHeight="1" hidden="1">
      <c r="B19" s="33">
        <v>10</v>
      </c>
      <c r="C19" s="11">
        <f t="shared" si="0"/>
        <v>5186</v>
      </c>
      <c r="D19" s="62">
        <v>5</v>
      </c>
      <c r="E19" s="143"/>
      <c r="F19" s="62"/>
      <c r="G19" s="62">
        <v>1000</v>
      </c>
      <c r="H19" s="62"/>
      <c r="I19" s="62"/>
      <c r="J19" s="62"/>
      <c r="K19" s="62"/>
      <c r="L19" s="62">
        <v>185</v>
      </c>
      <c r="M19" s="62">
        <v>3612</v>
      </c>
      <c r="N19" s="62"/>
      <c r="O19" s="62"/>
      <c r="P19" s="62"/>
      <c r="Q19" s="62"/>
      <c r="R19" s="62">
        <v>384</v>
      </c>
      <c r="S19" s="62"/>
      <c r="T19" s="62"/>
      <c r="U19" s="62"/>
      <c r="V19" s="63"/>
    </row>
    <row r="20" spans="2:22" ht="19.5" customHeight="1" hidden="1">
      <c r="B20" s="33">
        <v>11</v>
      </c>
      <c r="C20" s="11">
        <f t="shared" si="0"/>
        <v>0</v>
      </c>
      <c r="D20" s="62"/>
      <c r="E20" s="143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>
        <v>0</v>
      </c>
      <c r="S20" s="62"/>
      <c r="T20" s="62"/>
      <c r="U20" s="62"/>
      <c r="V20" s="63"/>
    </row>
    <row r="21" spans="2:22" ht="19.5" customHeight="1" hidden="1">
      <c r="B21" s="33">
        <v>12</v>
      </c>
      <c r="C21" s="11">
        <f t="shared" si="0"/>
        <v>1814</v>
      </c>
      <c r="D21" s="62">
        <v>5</v>
      </c>
      <c r="E21" s="143"/>
      <c r="F21" s="62"/>
      <c r="G21" s="62">
        <v>250</v>
      </c>
      <c r="H21" s="62"/>
      <c r="I21" s="62"/>
      <c r="J21" s="62"/>
      <c r="K21" s="62"/>
      <c r="L21" s="62">
        <v>35</v>
      </c>
      <c r="M21" s="62">
        <v>1524</v>
      </c>
      <c r="N21" s="62"/>
      <c r="O21" s="62"/>
      <c r="P21" s="62"/>
      <c r="Q21" s="62"/>
      <c r="R21" s="62">
        <v>0</v>
      </c>
      <c r="S21" s="62"/>
      <c r="T21" s="62"/>
      <c r="U21" s="62"/>
      <c r="V21" s="63"/>
    </row>
    <row r="22" spans="2:22" ht="19.5" customHeight="1" hidden="1">
      <c r="B22" s="33">
        <v>99.1</v>
      </c>
      <c r="C22" s="11">
        <f t="shared" si="0"/>
        <v>1617</v>
      </c>
      <c r="D22" s="62">
        <v>5</v>
      </c>
      <c r="E22" s="143"/>
      <c r="F22" s="62"/>
      <c r="G22" s="62">
        <v>164</v>
      </c>
      <c r="H22" s="62"/>
      <c r="I22" s="62"/>
      <c r="J22" s="62"/>
      <c r="K22" s="62"/>
      <c r="L22" s="62">
        <v>260</v>
      </c>
      <c r="M22" s="62">
        <v>1188</v>
      </c>
      <c r="N22" s="62"/>
      <c r="O22" s="62"/>
      <c r="P22" s="62"/>
      <c r="Q22" s="62"/>
      <c r="R22" s="62">
        <v>0</v>
      </c>
      <c r="S22" s="62"/>
      <c r="T22" s="62"/>
      <c r="U22" s="62"/>
      <c r="V22" s="63"/>
    </row>
    <row r="23" spans="2:22" ht="19.5" customHeight="1" hidden="1">
      <c r="B23" s="33">
        <v>2</v>
      </c>
      <c r="C23" s="11">
        <f t="shared" si="0"/>
        <v>5</v>
      </c>
      <c r="D23" s="62">
        <v>5</v>
      </c>
      <c r="E23" s="143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3"/>
    </row>
    <row r="24" spans="2:22" ht="19.5" customHeight="1" hidden="1">
      <c r="B24" s="33">
        <v>3</v>
      </c>
      <c r="C24" s="11">
        <f t="shared" si="0"/>
        <v>1833</v>
      </c>
      <c r="D24" s="62">
        <v>5</v>
      </c>
      <c r="E24" s="143"/>
      <c r="F24" s="62"/>
      <c r="G24" s="62">
        <v>572</v>
      </c>
      <c r="H24" s="62"/>
      <c r="I24" s="62"/>
      <c r="J24" s="62"/>
      <c r="K24" s="62"/>
      <c r="L24" s="62">
        <v>140</v>
      </c>
      <c r="M24" s="62">
        <v>1116</v>
      </c>
      <c r="N24" s="62"/>
      <c r="O24" s="62"/>
      <c r="P24" s="62"/>
      <c r="Q24" s="62"/>
      <c r="R24" s="62">
        <v>0</v>
      </c>
      <c r="S24" s="62"/>
      <c r="T24" s="62"/>
      <c r="U24" s="62"/>
      <c r="V24" s="63"/>
    </row>
    <row r="25" spans="2:22" ht="19.5" customHeight="1" hidden="1">
      <c r="B25" s="33">
        <v>4</v>
      </c>
      <c r="C25" s="11">
        <f t="shared" si="0"/>
        <v>10</v>
      </c>
      <c r="D25" s="62">
        <v>10</v>
      </c>
      <c r="E25" s="143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3"/>
    </row>
    <row r="26" spans="2:22" ht="19.5" customHeight="1" hidden="1">
      <c r="B26" s="33">
        <v>5</v>
      </c>
      <c r="C26" s="11">
        <f t="shared" si="0"/>
        <v>1581</v>
      </c>
      <c r="D26" s="62">
        <v>15</v>
      </c>
      <c r="E26" s="143"/>
      <c r="F26" s="62"/>
      <c r="G26" s="62">
        <v>206</v>
      </c>
      <c r="H26" s="62"/>
      <c r="I26" s="62"/>
      <c r="J26" s="62"/>
      <c r="K26" s="62"/>
      <c r="L26" s="62">
        <v>100</v>
      </c>
      <c r="M26" s="62">
        <v>1260</v>
      </c>
      <c r="N26" s="62"/>
      <c r="O26" s="62"/>
      <c r="P26" s="62"/>
      <c r="Q26" s="62"/>
      <c r="R26" s="62">
        <v>0</v>
      </c>
      <c r="S26" s="62"/>
      <c r="T26" s="62"/>
      <c r="U26" s="62"/>
      <c r="V26" s="63"/>
    </row>
    <row r="27" spans="2:22" ht="19.5" customHeight="1" hidden="1">
      <c r="B27" s="33">
        <v>6</v>
      </c>
      <c r="C27" s="11">
        <f t="shared" si="0"/>
        <v>1746</v>
      </c>
      <c r="D27" s="62">
        <v>15</v>
      </c>
      <c r="E27" s="143"/>
      <c r="F27" s="62"/>
      <c r="G27" s="62">
        <v>75</v>
      </c>
      <c r="H27" s="62"/>
      <c r="I27" s="62"/>
      <c r="J27" s="62"/>
      <c r="K27" s="62"/>
      <c r="L27" s="62">
        <v>0</v>
      </c>
      <c r="M27" s="62">
        <v>1656</v>
      </c>
      <c r="N27" s="62"/>
      <c r="O27" s="62"/>
      <c r="P27" s="62"/>
      <c r="Q27" s="62"/>
      <c r="R27" s="62">
        <v>0</v>
      </c>
      <c r="S27" s="62"/>
      <c r="T27" s="62"/>
      <c r="U27" s="62"/>
      <c r="V27" s="63"/>
    </row>
    <row r="28" spans="2:22" ht="19.5" customHeight="1" hidden="1">
      <c r="B28" s="33">
        <v>7</v>
      </c>
      <c r="C28" s="11">
        <f t="shared" si="0"/>
        <v>15</v>
      </c>
      <c r="D28" s="62">
        <v>15</v>
      </c>
      <c r="E28" s="143"/>
      <c r="F28" s="62"/>
      <c r="G28" s="62">
        <v>0</v>
      </c>
      <c r="H28" s="62"/>
      <c r="I28" s="62"/>
      <c r="J28" s="62"/>
      <c r="K28" s="62"/>
      <c r="L28" s="62">
        <v>0</v>
      </c>
      <c r="M28" s="62">
        <v>0</v>
      </c>
      <c r="N28" s="62"/>
      <c r="O28" s="62"/>
      <c r="P28" s="62"/>
      <c r="Q28" s="62"/>
      <c r="R28" s="62">
        <v>0</v>
      </c>
      <c r="S28" s="62"/>
      <c r="T28" s="62"/>
      <c r="U28" s="62"/>
      <c r="V28" s="63"/>
    </row>
    <row r="29" spans="2:22" ht="19.5" customHeight="1" hidden="1">
      <c r="B29" s="33">
        <v>8</v>
      </c>
      <c r="C29" s="11">
        <f t="shared" si="0"/>
        <v>15</v>
      </c>
      <c r="D29" s="62">
        <v>15</v>
      </c>
      <c r="E29" s="143"/>
      <c r="F29" s="62"/>
      <c r="G29" s="62">
        <v>0</v>
      </c>
      <c r="H29" s="62"/>
      <c r="I29" s="62"/>
      <c r="J29" s="62"/>
      <c r="K29" s="62"/>
      <c r="L29" s="62">
        <v>0</v>
      </c>
      <c r="M29" s="62">
        <v>0</v>
      </c>
      <c r="N29" s="62"/>
      <c r="O29" s="62"/>
      <c r="P29" s="62"/>
      <c r="Q29" s="62"/>
      <c r="R29" s="62">
        <v>0</v>
      </c>
      <c r="S29" s="62"/>
      <c r="T29" s="62"/>
      <c r="U29" s="62"/>
      <c r="V29" s="63"/>
    </row>
    <row r="30" spans="2:22" ht="19.5" customHeight="1" hidden="1">
      <c r="B30" s="33">
        <v>9</v>
      </c>
      <c r="C30" s="11">
        <f t="shared" si="0"/>
        <v>15</v>
      </c>
      <c r="D30" s="62">
        <v>15</v>
      </c>
      <c r="E30" s="62"/>
      <c r="F30" s="62"/>
      <c r="G30" s="62">
        <v>0</v>
      </c>
      <c r="H30" s="62"/>
      <c r="I30" s="62"/>
      <c r="J30" s="62"/>
      <c r="K30" s="62"/>
      <c r="L30" s="62">
        <v>0</v>
      </c>
      <c r="M30" s="62">
        <v>0</v>
      </c>
      <c r="N30" s="62"/>
      <c r="O30" s="62"/>
      <c r="P30" s="62"/>
      <c r="Q30" s="62"/>
      <c r="R30" s="62">
        <v>0</v>
      </c>
      <c r="S30" s="62"/>
      <c r="T30" s="62"/>
      <c r="U30" s="62"/>
      <c r="V30" s="63"/>
    </row>
    <row r="31" spans="2:22" ht="19.5" customHeight="1" hidden="1">
      <c r="B31" s="33">
        <v>10</v>
      </c>
      <c r="C31" s="11">
        <f t="shared" si="0"/>
        <v>2051</v>
      </c>
      <c r="D31" s="62">
        <v>3</v>
      </c>
      <c r="E31" s="62"/>
      <c r="F31" s="62"/>
      <c r="G31" s="62">
        <v>350</v>
      </c>
      <c r="H31" s="62"/>
      <c r="I31" s="62"/>
      <c r="J31" s="62"/>
      <c r="K31" s="62"/>
      <c r="L31" s="62">
        <v>50</v>
      </c>
      <c r="M31" s="62">
        <v>1648</v>
      </c>
      <c r="N31" s="62"/>
      <c r="O31" s="62"/>
      <c r="P31" s="62"/>
      <c r="Q31" s="62"/>
      <c r="R31" s="62">
        <v>0</v>
      </c>
      <c r="S31" s="62"/>
      <c r="T31" s="62"/>
      <c r="U31" s="62"/>
      <c r="V31" s="63"/>
    </row>
    <row r="32" spans="2:22" ht="19.5" customHeight="1" hidden="1">
      <c r="B32" s="33">
        <v>11</v>
      </c>
      <c r="C32" s="11">
        <f>SUM(D32:V32)</f>
        <v>3</v>
      </c>
      <c r="D32" s="62">
        <v>3</v>
      </c>
      <c r="E32" s="62"/>
      <c r="F32" s="62"/>
      <c r="G32" s="62">
        <v>0</v>
      </c>
      <c r="H32" s="62"/>
      <c r="I32" s="62"/>
      <c r="J32" s="62"/>
      <c r="K32" s="62"/>
      <c r="L32" s="62">
        <v>0</v>
      </c>
      <c r="M32" s="62">
        <v>0</v>
      </c>
      <c r="N32" s="62"/>
      <c r="O32" s="62"/>
      <c r="P32" s="62"/>
      <c r="Q32" s="62"/>
      <c r="R32" s="62">
        <v>0</v>
      </c>
      <c r="S32" s="62"/>
      <c r="T32" s="62"/>
      <c r="U32" s="62"/>
      <c r="V32" s="63"/>
    </row>
    <row r="33" spans="2:22" ht="19.5" customHeight="1" hidden="1">
      <c r="B33" s="33">
        <v>12</v>
      </c>
      <c r="C33" s="11">
        <f t="shared" si="0"/>
        <v>1779</v>
      </c>
      <c r="D33" s="62">
        <v>3</v>
      </c>
      <c r="E33" s="62"/>
      <c r="F33" s="62"/>
      <c r="G33" s="62">
        <v>0</v>
      </c>
      <c r="H33" s="62"/>
      <c r="I33" s="62"/>
      <c r="J33" s="62"/>
      <c r="K33" s="62"/>
      <c r="L33" s="62">
        <v>150</v>
      </c>
      <c r="M33" s="62">
        <v>1626</v>
      </c>
      <c r="N33" s="62"/>
      <c r="O33" s="62"/>
      <c r="P33" s="62"/>
      <c r="Q33" s="62"/>
      <c r="R33" s="62">
        <v>0</v>
      </c>
      <c r="S33" s="62"/>
      <c r="T33" s="62"/>
      <c r="U33" s="62"/>
      <c r="V33" s="63"/>
    </row>
    <row r="34" spans="2:22" ht="19.5" customHeight="1" hidden="1">
      <c r="B34" s="33">
        <v>100.1</v>
      </c>
      <c r="C34" s="61">
        <f t="shared" si="0"/>
        <v>2</v>
      </c>
      <c r="D34" s="62">
        <v>2</v>
      </c>
      <c r="E34" s="62"/>
      <c r="F34" s="62"/>
      <c r="G34" s="62">
        <v>0</v>
      </c>
      <c r="H34" s="62"/>
      <c r="I34" s="62"/>
      <c r="J34" s="62"/>
      <c r="K34" s="62"/>
      <c r="L34" s="62">
        <v>0</v>
      </c>
      <c r="M34" s="62">
        <v>0</v>
      </c>
      <c r="N34" s="62"/>
      <c r="O34" s="62"/>
      <c r="P34" s="62"/>
      <c r="Q34" s="62"/>
      <c r="R34" s="62">
        <v>0</v>
      </c>
      <c r="S34" s="62"/>
      <c r="T34" s="62"/>
      <c r="U34" s="62"/>
      <c r="V34" s="63"/>
    </row>
    <row r="35" spans="2:22" ht="19.5" customHeight="1" hidden="1">
      <c r="B35" s="33">
        <v>2</v>
      </c>
      <c r="C35" s="150">
        <f t="shared" si="0"/>
        <v>1</v>
      </c>
      <c r="D35" s="151">
        <v>1</v>
      </c>
      <c r="E35" s="151"/>
      <c r="F35" s="151"/>
      <c r="G35" s="151">
        <v>0</v>
      </c>
      <c r="H35" s="151"/>
      <c r="I35" s="151"/>
      <c r="J35" s="151"/>
      <c r="K35" s="151"/>
      <c r="L35" s="151">
        <v>0</v>
      </c>
      <c r="M35" s="151">
        <v>0</v>
      </c>
      <c r="N35" s="151"/>
      <c r="O35" s="151"/>
      <c r="P35" s="151"/>
      <c r="Q35" s="151"/>
      <c r="R35" s="151">
        <v>0</v>
      </c>
      <c r="S35" s="151"/>
      <c r="T35" s="151"/>
      <c r="U35" s="151"/>
      <c r="V35" s="152"/>
    </row>
    <row r="36" spans="2:22" ht="16.5" hidden="1">
      <c r="B36" s="10">
        <v>3</v>
      </c>
      <c r="C36" s="146">
        <f t="shared" si="0"/>
        <v>1703</v>
      </c>
      <c r="D36" s="146">
        <v>1</v>
      </c>
      <c r="E36" s="146"/>
      <c r="F36" s="146"/>
      <c r="G36" s="146">
        <v>300</v>
      </c>
      <c r="H36" s="146"/>
      <c r="I36" s="146"/>
      <c r="J36" s="146"/>
      <c r="K36" s="146"/>
      <c r="L36" s="146">
        <v>0</v>
      </c>
      <c r="M36" s="146">
        <v>1402</v>
      </c>
      <c r="N36" s="146"/>
      <c r="O36" s="146"/>
      <c r="P36" s="146"/>
      <c r="Q36" s="146"/>
      <c r="R36" s="146">
        <v>0</v>
      </c>
      <c r="S36" s="146"/>
      <c r="T36" s="146"/>
      <c r="U36" s="146"/>
      <c r="V36" s="147"/>
    </row>
    <row r="37" spans="2:22" ht="16.5" hidden="1">
      <c r="B37" s="10">
        <v>4</v>
      </c>
      <c r="C37" s="146">
        <f t="shared" si="0"/>
        <v>1</v>
      </c>
      <c r="D37" s="146">
        <v>1</v>
      </c>
      <c r="E37" s="146"/>
      <c r="F37" s="146"/>
      <c r="G37" s="146"/>
      <c r="H37" s="146"/>
      <c r="I37" s="146"/>
      <c r="J37" s="146"/>
      <c r="K37" s="146"/>
      <c r="L37" s="146">
        <v>0</v>
      </c>
      <c r="M37" s="146">
        <v>0</v>
      </c>
      <c r="N37" s="146"/>
      <c r="O37" s="146"/>
      <c r="P37" s="146"/>
      <c r="Q37" s="146"/>
      <c r="R37" s="146">
        <v>0</v>
      </c>
      <c r="S37" s="146"/>
      <c r="T37" s="146"/>
      <c r="U37" s="146"/>
      <c r="V37" s="147"/>
    </row>
    <row r="38" spans="2:22" ht="16.5" hidden="1">
      <c r="B38" s="10">
        <v>5</v>
      </c>
      <c r="C38" s="146">
        <f t="shared" si="0"/>
        <v>81</v>
      </c>
      <c r="D38" s="146">
        <v>1</v>
      </c>
      <c r="E38" s="146"/>
      <c r="F38" s="146"/>
      <c r="G38" s="146">
        <v>0</v>
      </c>
      <c r="H38" s="146"/>
      <c r="I38" s="146"/>
      <c r="J38" s="146"/>
      <c r="K38" s="146"/>
      <c r="L38" s="146">
        <v>80</v>
      </c>
      <c r="M38" s="146">
        <v>0</v>
      </c>
      <c r="N38" s="146"/>
      <c r="O38" s="146"/>
      <c r="P38" s="146"/>
      <c r="Q38" s="146"/>
      <c r="R38" s="146">
        <v>0</v>
      </c>
      <c r="S38" s="146"/>
      <c r="T38" s="146"/>
      <c r="U38" s="146"/>
      <c r="V38" s="147"/>
    </row>
    <row r="39" spans="2:22" ht="16.5" hidden="1">
      <c r="B39" s="10">
        <v>6</v>
      </c>
      <c r="C39" s="146">
        <f t="shared" si="0"/>
        <v>4645</v>
      </c>
      <c r="D39" s="146">
        <v>1</v>
      </c>
      <c r="E39" s="146"/>
      <c r="F39" s="146"/>
      <c r="G39" s="146">
        <v>1352</v>
      </c>
      <c r="H39" s="146"/>
      <c r="I39" s="146"/>
      <c r="J39" s="146"/>
      <c r="K39" s="146"/>
      <c r="L39" s="146">
        <v>50</v>
      </c>
      <c r="M39" s="146">
        <v>3242</v>
      </c>
      <c r="N39" s="146"/>
      <c r="O39" s="146"/>
      <c r="P39" s="146"/>
      <c r="Q39" s="146"/>
      <c r="R39" s="146">
        <v>0</v>
      </c>
      <c r="S39" s="146"/>
      <c r="T39" s="146"/>
      <c r="U39" s="146"/>
      <c r="V39" s="147"/>
    </row>
    <row r="40" spans="2:22" ht="16.5" hidden="1">
      <c r="B40" s="10">
        <v>7</v>
      </c>
      <c r="C40" s="146">
        <f t="shared" si="0"/>
        <v>1</v>
      </c>
      <c r="D40" s="146">
        <v>1</v>
      </c>
      <c r="E40" s="146"/>
      <c r="F40" s="146"/>
      <c r="G40" s="146">
        <v>0</v>
      </c>
      <c r="H40" s="146"/>
      <c r="I40" s="146"/>
      <c r="J40" s="146"/>
      <c r="K40" s="146"/>
      <c r="L40" s="146">
        <v>0</v>
      </c>
      <c r="M40" s="146">
        <v>0</v>
      </c>
      <c r="N40" s="146"/>
      <c r="O40" s="146"/>
      <c r="P40" s="146"/>
      <c r="Q40" s="146"/>
      <c r="R40" s="146">
        <v>0</v>
      </c>
      <c r="S40" s="146"/>
      <c r="T40" s="146"/>
      <c r="U40" s="146"/>
      <c r="V40" s="147"/>
    </row>
    <row r="41" spans="2:22" ht="16.5" hidden="1">
      <c r="B41" s="10">
        <v>8</v>
      </c>
      <c r="C41" s="146">
        <f t="shared" si="0"/>
        <v>11</v>
      </c>
      <c r="D41" s="146">
        <v>1</v>
      </c>
      <c r="E41" s="146"/>
      <c r="F41" s="146"/>
      <c r="G41" s="146">
        <v>10</v>
      </c>
      <c r="H41" s="146"/>
      <c r="I41" s="146"/>
      <c r="J41" s="146"/>
      <c r="K41" s="146"/>
      <c r="L41" s="146">
        <v>0</v>
      </c>
      <c r="M41" s="146">
        <v>0</v>
      </c>
      <c r="N41" s="146"/>
      <c r="O41" s="146"/>
      <c r="P41" s="146"/>
      <c r="Q41" s="146"/>
      <c r="R41" s="146">
        <v>0</v>
      </c>
      <c r="S41" s="146"/>
      <c r="T41" s="146"/>
      <c r="U41" s="146"/>
      <c r="V41" s="147"/>
    </row>
    <row r="42" spans="2:22" ht="16.5" hidden="1">
      <c r="B42" s="10">
        <v>9</v>
      </c>
      <c r="C42" s="146">
        <f t="shared" si="0"/>
        <v>11</v>
      </c>
      <c r="D42" s="146">
        <v>1</v>
      </c>
      <c r="E42" s="146"/>
      <c r="F42" s="146"/>
      <c r="G42" s="146">
        <v>10</v>
      </c>
      <c r="H42" s="146"/>
      <c r="I42" s="146"/>
      <c r="J42" s="146"/>
      <c r="K42" s="146"/>
      <c r="L42" s="146">
        <v>0</v>
      </c>
      <c r="M42" s="146">
        <v>0</v>
      </c>
      <c r="N42" s="146"/>
      <c r="O42" s="146"/>
      <c r="P42" s="146"/>
      <c r="Q42" s="146"/>
      <c r="R42" s="146">
        <v>0</v>
      </c>
      <c r="S42" s="146"/>
      <c r="T42" s="146"/>
      <c r="U42" s="146"/>
      <c r="V42" s="147"/>
    </row>
    <row r="43" spans="2:22" ht="16.5" hidden="1">
      <c r="B43" s="10">
        <v>10</v>
      </c>
      <c r="C43" s="146">
        <f t="shared" si="0"/>
        <v>2593</v>
      </c>
      <c r="D43" s="146">
        <v>1</v>
      </c>
      <c r="E43" s="146"/>
      <c r="F43" s="146"/>
      <c r="G43" s="146">
        <v>900</v>
      </c>
      <c r="H43" s="146"/>
      <c r="I43" s="146"/>
      <c r="J43" s="146"/>
      <c r="K43" s="146"/>
      <c r="L43" s="146">
        <v>12</v>
      </c>
      <c r="M43" s="146">
        <v>1680</v>
      </c>
      <c r="N43" s="146"/>
      <c r="O43" s="146"/>
      <c r="P43" s="146"/>
      <c r="Q43" s="146"/>
      <c r="R43" s="146">
        <v>0</v>
      </c>
      <c r="S43" s="146"/>
      <c r="T43" s="146"/>
      <c r="U43" s="146"/>
      <c r="V43" s="147"/>
    </row>
    <row r="44" spans="2:22" ht="16.5" hidden="1">
      <c r="B44" s="10">
        <v>11</v>
      </c>
      <c r="C44" s="146">
        <f t="shared" si="0"/>
        <v>1</v>
      </c>
      <c r="D44" s="146">
        <v>1</v>
      </c>
      <c r="E44" s="146"/>
      <c r="F44" s="146"/>
      <c r="G44" s="146">
        <v>0</v>
      </c>
      <c r="H44" s="146"/>
      <c r="I44" s="146"/>
      <c r="J44" s="146"/>
      <c r="K44" s="146"/>
      <c r="L44" s="146">
        <v>0</v>
      </c>
      <c r="M44" s="146">
        <v>0</v>
      </c>
      <c r="N44" s="146"/>
      <c r="O44" s="146"/>
      <c r="P44" s="146"/>
      <c r="Q44" s="146"/>
      <c r="R44" s="146">
        <v>0</v>
      </c>
      <c r="S44" s="146"/>
      <c r="T44" s="146"/>
      <c r="U44" s="146"/>
      <c r="V44" s="147"/>
    </row>
    <row r="45" spans="2:22" ht="17.25" hidden="1" thickBot="1">
      <c r="B45" s="134">
        <v>12</v>
      </c>
      <c r="C45" s="148">
        <f t="shared" si="0"/>
        <v>1</v>
      </c>
      <c r="D45" s="148">
        <v>1</v>
      </c>
      <c r="E45" s="148"/>
      <c r="F45" s="148"/>
      <c r="G45" s="148">
        <v>0</v>
      </c>
      <c r="H45" s="148"/>
      <c r="I45" s="148"/>
      <c r="J45" s="148"/>
      <c r="K45" s="148"/>
      <c r="L45" s="148">
        <v>0</v>
      </c>
      <c r="M45" s="148">
        <v>0</v>
      </c>
      <c r="N45" s="148"/>
      <c r="O45" s="148"/>
      <c r="P45" s="148"/>
      <c r="Q45" s="148"/>
      <c r="R45" s="148">
        <v>0</v>
      </c>
      <c r="S45" s="148"/>
      <c r="T45" s="148"/>
      <c r="U45" s="148"/>
      <c r="V45" s="149"/>
    </row>
    <row r="46" spans="2:22" ht="19.5" customHeight="1" hidden="1">
      <c r="B46" s="33">
        <v>101.1</v>
      </c>
      <c r="C46" s="173">
        <f t="shared" si="0"/>
        <v>3453</v>
      </c>
      <c r="D46" s="171">
        <v>1</v>
      </c>
      <c r="E46" s="171"/>
      <c r="F46" s="171"/>
      <c r="G46" s="171">
        <v>1854</v>
      </c>
      <c r="H46" s="171"/>
      <c r="I46" s="171"/>
      <c r="J46" s="171"/>
      <c r="K46" s="171"/>
      <c r="L46" s="171">
        <v>30</v>
      </c>
      <c r="M46" s="171">
        <f>468+852+168+50+30</f>
        <v>1568</v>
      </c>
      <c r="N46" s="171"/>
      <c r="O46" s="171"/>
      <c r="P46" s="171"/>
      <c r="Q46" s="171"/>
      <c r="R46" s="171">
        <v>0</v>
      </c>
      <c r="S46" s="171"/>
      <c r="T46" s="171"/>
      <c r="U46" s="171"/>
      <c r="V46" s="172"/>
    </row>
    <row r="47" spans="2:22" ht="19.5" customHeight="1" hidden="1">
      <c r="B47" s="33">
        <v>2</v>
      </c>
      <c r="C47" s="174">
        <f t="shared" si="0"/>
        <v>1697</v>
      </c>
      <c r="D47" s="151">
        <v>1</v>
      </c>
      <c r="E47" s="151"/>
      <c r="F47" s="151"/>
      <c r="G47" s="151">
        <v>724</v>
      </c>
      <c r="H47" s="151"/>
      <c r="I47" s="151"/>
      <c r="J47" s="151"/>
      <c r="K47" s="151"/>
      <c r="L47" s="151">
        <v>0</v>
      </c>
      <c r="M47" s="151">
        <v>972</v>
      </c>
      <c r="N47" s="151"/>
      <c r="O47" s="151"/>
      <c r="P47" s="151"/>
      <c r="Q47" s="151"/>
      <c r="R47" s="151">
        <v>0</v>
      </c>
      <c r="S47" s="151"/>
      <c r="T47" s="151"/>
      <c r="U47" s="151"/>
      <c r="V47" s="152"/>
    </row>
    <row r="48" spans="2:22" ht="16.5" hidden="1">
      <c r="B48" s="10">
        <v>3</v>
      </c>
      <c r="C48" s="146">
        <f t="shared" si="0"/>
        <v>1515</v>
      </c>
      <c r="D48" s="146">
        <v>1</v>
      </c>
      <c r="E48" s="146"/>
      <c r="F48" s="146"/>
      <c r="G48" s="146">
        <v>590</v>
      </c>
      <c r="H48" s="146"/>
      <c r="I48" s="146"/>
      <c r="J48" s="146"/>
      <c r="K48" s="146"/>
      <c r="L48" s="146">
        <v>48</v>
      </c>
      <c r="M48" s="146">
        <v>876</v>
      </c>
      <c r="N48" s="146"/>
      <c r="O48" s="146"/>
      <c r="P48" s="146"/>
      <c r="Q48" s="146"/>
      <c r="R48" s="146">
        <v>0</v>
      </c>
      <c r="S48" s="146"/>
      <c r="T48" s="146"/>
      <c r="U48" s="146"/>
      <c r="V48" s="147"/>
    </row>
    <row r="49" spans="2:22" ht="16.5" hidden="1">
      <c r="B49" s="10">
        <v>4</v>
      </c>
      <c r="C49" s="146">
        <f t="shared" si="0"/>
        <v>401</v>
      </c>
      <c r="D49" s="146">
        <v>1</v>
      </c>
      <c r="E49" s="146"/>
      <c r="F49" s="146"/>
      <c r="G49" s="146">
        <v>400</v>
      </c>
      <c r="H49" s="146"/>
      <c r="I49" s="146"/>
      <c r="J49" s="146"/>
      <c r="K49" s="146"/>
      <c r="L49" s="146">
        <v>0</v>
      </c>
      <c r="M49" s="146">
        <v>0</v>
      </c>
      <c r="N49" s="146"/>
      <c r="O49" s="146"/>
      <c r="P49" s="146"/>
      <c r="Q49" s="146"/>
      <c r="R49" s="146">
        <v>0</v>
      </c>
      <c r="S49" s="146"/>
      <c r="T49" s="146"/>
      <c r="U49" s="146"/>
      <c r="V49" s="147"/>
    </row>
    <row r="50" spans="2:22" ht="16.5" hidden="1">
      <c r="B50" s="10">
        <v>5</v>
      </c>
      <c r="C50" s="146">
        <f t="shared" si="0"/>
        <v>401</v>
      </c>
      <c r="D50" s="146">
        <v>1</v>
      </c>
      <c r="E50" s="146"/>
      <c r="F50" s="146"/>
      <c r="G50" s="146">
        <v>400</v>
      </c>
      <c r="H50" s="146"/>
      <c r="I50" s="146"/>
      <c r="J50" s="146"/>
      <c r="K50" s="146"/>
      <c r="L50" s="146">
        <v>0</v>
      </c>
      <c r="M50" s="146">
        <v>0</v>
      </c>
      <c r="N50" s="146"/>
      <c r="O50" s="146"/>
      <c r="P50" s="146"/>
      <c r="Q50" s="146"/>
      <c r="R50" s="146">
        <v>0</v>
      </c>
      <c r="S50" s="146"/>
      <c r="T50" s="146"/>
      <c r="U50" s="146"/>
      <c r="V50" s="147"/>
    </row>
    <row r="51" spans="2:22" ht="16.5" hidden="1">
      <c r="B51" s="10">
        <v>6</v>
      </c>
      <c r="C51" s="146">
        <f t="shared" si="0"/>
        <v>3149</v>
      </c>
      <c r="D51" s="146">
        <v>1</v>
      </c>
      <c r="E51" s="146"/>
      <c r="F51" s="146"/>
      <c r="G51" s="146">
        <v>1192</v>
      </c>
      <c r="H51" s="146"/>
      <c r="I51" s="146"/>
      <c r="J51" s="146"/>
      <c r="K51" s="146"/>
      <c r="L51" s="146">
        <v>0</v>
      </c>
      <c r="M51" s="146">
        <v>1956</v>
      </c>
      <c r="N51" s="146"/>
      <c r="O51" s="146"/>
      <c r="P51" s="146"/>
      <c r="Q51" s="146"/>
      <c r="R51" s="146">
        <v>0</v>
      </c>
      <c r="S51" s="146"/>
      <c r="T51" s="146"/>
      <c r="U51" s="146"/>
      <c r="V51" s="147"/>
    </row>
    <row r="52" spans="2:22" ht="16.5" hidden="1">
      <c r="B52" s="10">
        <v>7</v>
      </c>
      <c r="C52" s="146">
        <f t="shared" si="0"/>
        <v>1</v>
      </c>
      <c r="D52" s="146">
        <v>1</v>
      </c>
      <c r="E52" s="146"/>
      <c r="F52" s="146"/>
      <c r="G52" s="146">
        <v>0</v>
      </c>
      <c r="H52" s="146"/>
      <c r="I52" s="146"/>
      <c r="J52" s="146"/>
      <c r="K52" s="146"/>
      <c r="L52" s="146"/>
      <c r="M52" s="146">
        <v>0</v>
      </c>
      <c r="N52" s="146"/>
      <c r="O52" s="146"/>
      <c r="P52" s="146"/>
      <c r="Q52" s="146"/>
      <c r="R52" s="146">
        <v>0</v>
      </c>
      <c r="S52" s="146"/>
      <c r="T52" s="146"/>
      <c r="U52" s="146"/>
      <c r="V52" s="147"/>
    </row>
    <row r="53" spans="2:22" ht="16.5" hidden="1">
      <c r="B53" s="10">
        <v>8</v>
      </c>
      <c r="C53" s="146">
        <f t="shared" si="0"/>
        <v>1</v>
      </c>
      <c r="D53" s="146">
        <v>1</v>
      </c>
      <c r="E53" s="146"/>
      <c r="F53" s="146"/>
      <c r="G53" s="146">
        <v>0</v>
      </c>
      <c r="H53" s="146"/>
      <c r="I53" s="146"/>
      <c r="J53" s="146"/>
      <c r="K53" s="146"/>
      <c r="L53" s="146"/>
      <c r="M53" s="146">
        <v>0</v>
      </c>
      <c r="N53" s="146"/>
      <c r="O53" s="146"/>
      <c r="P53" s="146"/>
      <c r="Q53" s="146"/>
      <c r="R53" s="146">
        <v>0</v>
      </c>
      <c r="S53" s="146"/>
      <c r="T53" s="146"/>
      <c r="U53" s="146"/>
      <c r="V53" s="147"/>
    </row>
    <row r="54" spans="2:22" ht="16.5" hidden="1">
      <c r="B54" s="10">
        <v>9</v>
      </c>
      <c r="C54" s="146">
        <f t="shared" si="0"/>
        <v>2</v>
      </c>
      <c r="D54" s="146">
        <v>2</v>
      </c>
      <c r="E54" s="146"/>
      <c r="F54" s="146"/>
      <c r="G54" s="146">
        <v>0</v>
      </c>
      <c r="H54" s="146"/>
      <c r="I54" s="146"/>
      <c r="J54" s="146"/>
      <c r="K54" s="146"/>
      <c r="L54" s="146"/>
      <c r="M54" s="146">
        <v>0</v>
      </c>
      <c r="N54" s="146"/>
      <c r="O54" s="146"/>
      <c r="P54" s="146"/>
      <c r="Q54" s="146"/>
      <c r="R54" s="146">
        <v>0</v>
      </c>
      <c r="S54" s="146"/>
      <c r="T54" s="146"/>
      <c r="U54" s="146"/>
      <c r="V54" s="147"/>
    </row>
    <row r="55" spans="2:22" ht="16.5" hidden="1">
      <c r="B55" s="10">
        <v>10</v>
      </c>
      <c r="C55" s="146">
        <f t="shared" si="0"/>
        <v>6773</v>
      </c>
      <c r="D55" s="146">
        <v>1</v>
      </c>
      <c r="E55" s="146"/>
      <c r="F55" s="146"/>
      <c r="G55" s="146">
        <v>2500</v>
      </c>
      <c r="H55" s="146"/>
      <c r="I55" s="146"/>
      <c r="J55" s="146"/>
      <c r="K55" s="146"/>
      <c r="L55" s="146"/>
      <c r="M55" s="188">
        <f>2100+492+1500+180</f>
        <v>4272</v>
      </c>
      <c r="N55" s="146"/>
      <c r="O55" s="146"/>
      <c r="P55" s="146"/>
      <c r="Q55" s="146"/>
      <c r="R55" s="146">
        <v>0</v>
      </c>
      <c r="S55" s="146"/>
      <c r="T55" s="146"/>
      <c r="U55" s="146"/>
      <c r="V55" s="147"/>
    </row>
    <row r="56" spans="2:22" ht="16.5" hidden="1">
      <c r="B56" s="10">
        <v>11</v>
      </c>
      <c r="C56" s="146">
        <f t="shared" si="0"/>
        <v>0</v>
      </c>
      <c r="D56" s="146">
        <v>0</v>
      </c>
      <c r="E56" s="146"/>
      <c r="F56" s="146"/>
      <c r="G56" s="146">
        <v>0</v>
      </c>
      <c r="H56" s="146"/>
      <c r="I56" s="146"/>
      <c r="J56" s="146"/>
      <c r="K56" s="146"/>
      <c r="L56" s="146"/>
      <c r="M56" s="146">
        <v>0</v>
      </c>
      <c r="N56" s="146"/>
      <c r="O56" s="146"/>
      <c r="P56" s="146"/>
      <c r="Q56" s="146"/>
      <c r="R56" s="146">
        <v>0</v>
      </c>
      <c r="S56" s="146"/>
      <c r="T56" s="146"/>
      <c r="U56" s="146"/>
      <c r="V56" s="147"/>
    </row>
    <row r="57" spans="1:22" ht="17.25" hidden="1" thickBot="1">
      <c r="A57" s="182"/>
      <c r="B57" s="134">
        <v>12</v>
      </c>
      <c r="C57" s="148">
        <f t="shared" si="0"/>
        <v>0</v>
      </c>
      <c r="D57" s="148">
        <v>0</v>
      </c>
      <c r="E57" s="148"/>
      <c r="F57" s="148"/>
      <c r="G57" s="148">
        <v>0</v>
      </c>
      <c r="H57" s="148"/>
      <c r="I57" s="148"/>
      <c r="J57" s="148"/>
      <c r="K57" s="148"/>
      <c r="L57" s="148"/>
      <c r="M57" s="148">
        <v>0</v>
      </c>
      <c r="N57" s="148"/>
      <c r="O57" s="148"/>
      <c r="P57" s="148"/>
      <c r="Q57" s="148"/>
      <c r="R57" s="148">
        <v>0</v>
      </c>
      <c r="S57" s="148"/>
      <c r="T57" s="148"/>
      <c r="U57" s="148"/>
      <c r="V57" s="149"/>
    </row>
    <row r="58" spans="2:22" ht="17.25" hidden="1" thickTop="1">
      <c r="B58" s="181">
        <v>102.1</v>
      </c>
      <c r="C58" s="180">
        <f t="shared" si="0"/>
        <v>5678</v>
      </c>
      <c r="D58" s="180">
        <v>1700</v>
      </c>
      <c r="E58" s="180"/>
      <c r="F58" s="180"/>
      <c r="G58" s="180">
        <v>1165</v>
      </c>
      <c r="H58" s="180"/>
      <c r="I58" s="180"/>
      <c r="J58" s="180"/>
      <c r="K58" s="180"/>
      <c r="L58" s="180">
        <v>17</v>
      </c>
      <c r="M58" s="180">
        <v>2796</v>
      </c>
      <c r="N58" s="180"/>
      <c r="O58" s="180"/>
      <c r="P58" s="180"/>
      <c r="Q58" s="180"/>
      <c r="R58" s="180">
        <v>0</v>
      </c>
      <c r="S58" s="180"/>
      <c r="T58" s="180"/>
      <c r="U58" s="180"/>
      <c r="V58" s="183"/>
    </row>
    <row r="59" spans="2:22" ht="16.5" hidden="1">
      <c r="B59" s="33">
        <v>2</v>
      </c>
      <c r="C59" s="146">
        <f t="shared" si="0"/>
        <v>1</v>
      </c>
      <c r="D59" s="146">
        <v>1</v>
      </c>
      <c r="E59" s="146"/>
      <c r="F59" s="146"/>
      <c r="G59" s="146">
        <v>0</v>
      </c>
      <c r="H59" s="146"/>
      <c r="I59" s="146"/>
      <c r="J59" s="146"/>
      <c r="K59" s="146"/>
      <c r="L59" s="146">
        <v>0</v>
      </c>
      <c r="M59" s="146">
        <v>0</v>
      </c>
      <c r="N59" s="146"/>
      <c r="O59" s="146"/>
      <c r="P59" s="146"/>
      <c r="Q59" s="146"/>
      <c r="R59" s="146">
        <v>0</v>
      </c>
      <c r="S59" s="146"/>
      <c r="T59" s="146"/>
      <c r="U59" s="146"/>
      <c r="V59" s="147"/>
    </row>
    <row r="60" spans="2:22" ht="16.5" hidden="1">
      <c r="B60" s="10">
        <v>3</v>
      </c>
      <c r="C60" s="146">
        <f t="shared" si="0"/>
        <v>1</v>
      </c>
      <c r="D60" s="146">
        <v>1</v>
      </c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7"/>
    </row>
    <row r="61" spans="2:22" ht="16.5" hidden="1">
      <c r="B61" s="10">
        <v>4</v>
      </c>
      <c r="C61" s="146">
        <f t="shared" si="0"/>
        <v>1</v>
      </c>
      <c r="D61" s="146">
        <v>1</v>
      </c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7"/>
    </row>
    <row r="62" spans="2:22" ht="16.5" hidden="1">
      <c r="B62" s="10">
        <v>5</v>
      </c>
      <c r="C62" s="146">
        <f t="shared" si="0"/>
        <v>1</v>
      </c>
      <c r="D62" s="146">
        <v>1</v>
      </c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80"/>
      <c r="U62" s="146"/>
      <c r="V62" s="147"/>
    </row>
    <row r="63" spans="2:22" ht="16.5" hidden="1">
      <c r="B63" s="10">
        <v>6</v>
      </c>
      <c r="C63" s="146">
        <f t="shared" si="0"/>
        <v>6252</v>
      </c>
      <c r="D63" s="146">
        <v>500</v>
      </c>
      <c r="E63" s="146"/>
      <c r="F63" s="146"/>
      <c r="G63" s="146">
        <v>2084</v>
      </c>
      <c r="H63" s="146"/>
      <c r="I63" s="146"/>
      <c r="J63" s="146"/>
      <c r="K63" s="146"/>
      <c r="L63" s="146">
        <v>164</v>
      </c>
      <c r="M63" s="146">
        <v>3504</v>
      </c>
      <c r="N63" s="146"/>
      <c r="O63" s="146"/>
      <c r="P63" s="146"/>
      <c r="Q63" s="146"/>
      <c r="R63" s="146"/>
      <c r="S63" s="146"/>
      <c r="T63" s="146"/>
      <c r="U63" s="146"/>
      <c r="V63" s="147"/>
    </row>
    <row r="64" spans="2:22" ht="16.5" hidden="1">
      <c r="B64" s="10">
        <v>7</v>
      </c>
      <c r="C64" s="146">
        <f t="shared" si="0"/>
        <v>2</v>
      </c>
      <c r="D64" s="146">
        <v>2</v>
      </c>
      <c r="E64" s="146"/>
      <c r="F64" s="146"/>
      <c r="G64" s="146"/>
      <c r="H64" s="146"/>
      <c r="I64" s="146"/>
      <c r="J64" s="146"/>
      <c r="K64" s="146"/>
      <c r="N64" s="146"/>
      <c r="O64" s="146"/>
      <c r="P64" s="146"/>
      <c r="Q64" s="146"/>
      <c r="R64" s="146"/>
      <c r="S64" s="146"/>
      <c r="T64" s="146"/>
      <c r="U64" s="146"/>
      <c r="V64" s="147"/>
    </row>
    <row r="65" spans="2:22" ht="16.5" hidden="1">
      <c r="B65" s="10">
        <v>8</v>
      </c>
      <c r="C65" s="146">
        <f t="shared" si="0"/>
        <v>2</v>
      </c>
      <c r="D65" s="146">
        <v>2</v>
      </c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7"/>
    </row>
    <row r="66" spans="2:22" ht="16.5" hidden="1">
      <c r="B66" s="10">
        <v>9</v>
      </c>
      <c r="C66" s="146">
        <f t="shared" si="0"/>
        <v>2</v>
      </c>
      <c r="D66" s="146">
        <v>2</v>
      </c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7"/>
    </row>
    <row r="67" spans="2:22" ht="16.5" hidden="1">
      <c r="B67" s="10">
        <v>10</v>
      </c>
      <c r="C67" s="146">
        <f t="shared" si="0"/>
        <v>2</v>
      </c>
      <c r="D67" s="146">
        <v>2</v>
      </c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7"/>
    </row>
    <row r="68" spans="2:22" ht="16.5" hidden="1">
      <c r="B68" s="10">
        <v>102.11</v>
      </c>
      <c r="C68" s="146">
        <f t="shared" si="0"/>
        <v>0</v>
      </c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7"/>
    </row>
    <row r="69" spans="2:22" ht="16.5" hidden="1">
      <c r="B69" s="192">
        <v>12</v>
      </c>
      <c r="C69" s="146">
        <f>SUM(D69:V69)</f>
        <v>2452</v>
      </c>
      <c r="D69" s="178"/>
      <c r="E69" s="178"/>
      <c r="F69" s="178"/>
      <c r="G69" s="178">
        <v>592</v>
      </c>
      <c r="H69" s="178"/>
      <c r="I69" s="178"/>
      <c r="J69" s="178"/>
      <c r="K69" s="178"/>
      <c r="L69" s="146">
        <f>60</f>
        <v>60</v>
      </c>
      <c r="M69" s="146">
        <f>1344+120+192+60+60+24</f>
        <v>1800</v>
      </c>
      <c r="N69" s="178"/>
      <c r="O69" s="178"/>
      <c r="P69" s="178"/>
      <c r="Q69" s="178"/>
      <c r="R69" s="178"/>
      <c r="S69" s="178"/>
      <c r="T69" s="178"/>
      <c r="U69" s="178"/>
      <c r="V69" s="199"/>
    </row>
    <row r="70" spans="1:22" ht="16.5">
      <c r="A70" s="179"/>
      <c r="B70" s="133">
        <v>103.1</v>
      </c>
      <c r="C70" s="146">
        <f>SUM(D70:V70)</f>
        <v>2</v>
      </c>
      <c r="D70" s="146">
        <v>2</v>
      </c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7"/>
    </row>
    <row r="71" spans="1:22" ht="16.5">
      <c r="A71" s="179"/>
      <c r="B71" s="133">
        <v>2</v>
      </c>
      <c r="C71" s="146">
        <f>SUM(D71:V71)</f>
        <v>2</v>
      </c>
      <c r="D71" s="146">
        <v>2</v>
      </c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7"/>
    </row>
    <row r="72" spans="1:22" ht="16.5">
      <c r="A72" s="179"/>
      <c r="B72" s="133">
        <v>3</v>
      </c>
      <c r="C72" s="146">
        <f>SUM(D72:V72)</f>
        <v>2446</v>
      </c>
      <c r="D72" s="146">
        <v>500</v>
      </c>
      <c r="E72" s="146"/>
      <c r="F72" s="146"/>
      <c r="G72" s="146">
        <v>1850</v>
      </c>
      <c r="H72" s="146"/>
      <c r="I72" s="146"/>
      <c r="J72" s="146"/>
      <c r="K72" s="146"/>
      <c r="L72" s="146"/>
      <c r="M72" s="146">
        <v>96</v>
      </c>
      <c r="N72" s="146"/>
      <c r="O72" s="146"/>
      <c r="P72" s="146"/>
      <c r="Q72" s="146"/>
      <c r="R72" s="146"/>
      <c r="S72" s="146"/>
      <c r="T72" s="146"/>
      <c r="U72" s="146"/>
      <c r="V72" s="147"/>
    </row>
    <row r="73" spans="1:22" ht="16.5">
      <c r="A73" s="179"/>
      <c r="B73" s="133">
        <v>4</v>
      </c>
      <c r="C73" s="146">
        <f aca="true" t="shared" si="1" ref="C73:C79">SUM(D73:V73)</f>
        <v>3758</v>
      </c>
      <c r="D73" s="146">
        <v>2</v>
      </c>
      <c r="E73" s="146"/>
      <c r="F73" s="146"/>
      <c r="G73" s="146">
        <v>3000</v>
      </c>
      <c r="H73" s="146"/>
      <c r="I73" s="146"/>
      <c r="J73" s="146"/>
      <c r="K73" s="146"/>
      <c r="L73" s="146"/>
      <c r="M73" s="146">
        <f>660+72+24</f>
        <v>756</v>
      </c>
      <c r="N73" s="146"/>
      <c r="O73" s="146"/>
      <c r="P73" s="146"/>
      <c r="Q73" s="146"/>
      <c r="R73" s="146"/>
      <c r="S73" s="146"/>
      <c r="T73" s="146"/>
      <c r="U73" s="146"/>
      <c r="V73" s="147"/>
    </row>
    <row r="74" spans="1:22" ht="16.5">
      <c r="A74" s="179"/>
      <c r="B74" s="133">
        <v>5</v>
      </c>
      <c r="C74" s="146">
        <f t="shared" si="1"/>
        <v>2750</v>
      </c>
      <c r="D74" s="146">
        <v>2</v>
      </c>
      <c r="E74" s="146"/>
      <c r="F74" s="146"/>
      <c r="G74" s="146">
        <v>768</v>
      </c>
      <c r="H74" s="146"/>
      <c r="I74" s="146"/>
      <c r="J74" s="146"/>
      <c r="K74" s="146"/>
      <c r="L74" s="146"/>
      <c r="M74" s="146">
        <v>1980</v>
      </c>
      <c r="N74" s="146"/>
      <c r="O74" s="146"/>
      <c r="P74" s="146"/>
      <c r="Q74" s="146"/>
      <c r="R74" s="146"/>
      <c r="S74" s="146"/>
      <c r="T74" s="146"/>
      <c r="U74" s="146"/>
      <c r="V74" s="147"/>
    </row>
    <row r="75" spans="1:22" ht="16.5">
      <c r="A75" s="179"/>
      <c r="B75" s="133">
        <v>6</v>
      </c>
      <c r="C75" s="146">
        <f t="shared" si="1"/>
        <v>2750</v>
      </c>
      <c r="D75" s="146">
        <v>2</v>
      </c>
      <c r="E75" s="146"/>
      <c r="F75" s="146"/>
      <c r="G75" s="146">
        <v>768</v>
      </c>
      <c r="H75" s="146"/>
      <c r="I75" s="146"/>
      <c r="J75" s="146"/>
      <c r="K75" s="146"/>
      <c r="L75" s="146"/>
      <c r="M75" s="146">
        <v>1980</v>
      </c>
      <c r="N75" s="146"/>
      <c r="O75" s="146"/>
      <c r="P75" s="146"/>
      <c r="Q75" s="146"/>
      <c r="R75" s="146"/>
      <c r="S75" s="146"/>
      <c r="T75" s="146"/>
      <c r="U75" s="146"/>
      <c r="V75" s="147"/>
    </row>
    <row r="76" spans="1:22" ht="16.5">
      <c r="A76" s="179"/>
      <c r="B76" s="133">
        <v>7</v>
      </c>
      <c r="C76" s="146">
        <f t="shared" si="1"/>
        <v>2</v>
      </c>
      <c r="D76" s="146">
        <v>2</v>
      </c>
      <c r="E76" s="146"/>
      <c r="F76" s="146"/>
      <c r="G76" s="146">
        <v>0</v>
      </c>
      <c r="H76" s="146"/>
      <c r="I76" s="146"/>
      <c r="J76" s="146"/>
      <c r="K76" s="146"/>
      <c r="L76" s="146"/>
      <c r="M76" s="146">
        <v>0</v>
      </c>
      <c r="N76" s="146"/>
      <c r="O76" s="146"/>
      <c r="P76" s="146"/>
      <c r="Q76" s="146"/>
      <c r="R76" s="146"/>
      <c r="S76" s="146"/>
      <c r="T76" s="146"/>
      <c r="U76" s="146"/>
      <c r="V76" s="147"/>
    </row>
    <row r="77" spans="1:22" ht="16.5">
      <c r="A77" s="179"/>
      <c r="B77" s="133">
        <v>8</v>
      </c>
      <c r="C77" s="146">
        <f t="shared" si="1"/>
        <v>73</v>
      </c>
      <c r="D77" s="146">
        <v>3</v>
      </c>
      <c r="E77" s="146"/>
      <c r="F77" s="146"/>
      <c r="G77" s="146">
        <v>0</v>
      </c>
      <c r="H77" s="146"/>
      <c r="I77" s="146"/>
      <c r="J77" s="146"/>
      <c r="K77" s="146"/>
      <c r="L77" s="146"/>
      <c r="M77" s="146">
        <v>70</v>
      </c>
      <c r="N77" s="146"/>
      <c r="O77" s="146"/>
      <c r="P77" s="146"/>
      <c r="Q77" s="146"/>
      <c r="R77" s="146"/>
      <c r="S77" s="146"/>
      <c r="T77" s="146"/>
      <c r="U77" s="146"/>
      <c r="V77" s="147"/>
    </row>
    <row r="78" spans="1:22" ht="16.5">
      <c r="A78" s="179"/>
      <c r="B78" s="140">
        <v>9</v>
      </c>
      <c r="C78" s="146">
        <f t="shared" si="1"/>
        <v>3576</v>
      </c>
      <c r="D78" s="178">
        <v>4</v>
      </c>
      <c r="E78" s="178"/>
      <c r="F78" s="178"/>
      <c r="G78" s="178">
        <v>3000</v>
      </c>
      <c r="H78" s="178"/>
      <c r="I78" s="178"/>
      <c r="J78" s="178"/>
      <c r="K78" s="178"/>
      <c r="L78" s="178">
        <v>72</v>
      </c>
      <c r="M78" s="178">
        <v>500</v>
      </c>
      <c r="N78" s="178"/>
      <c r="O78" s="178"/>
      <c r="P78" s="178"/>
      <c r="Q78" s="178"/>
      <c r="R78" s="178"/>
      <c r="S78" s="178"/>
      <c r="T78" s="178"/>
      <c r="U78" s="178"/>
      <c r="V78" s="199"/>
    </row>
    <row r="79" spans="1:22" ht="16.5">
      <c r="A79" s="179"/>
      <c r="B79" s="133">
        <v>10</v>
      </c>
      <c r="C79" s="146">
        <f t="shared" si="1"/>
        <v>1253</v>
      </c>
      <c r="D79" s="146">
        <v>6</v>
      </c>
      <c r="E79" s="146"/>
      <c r="F79" s="146"/>
      <c r="G79" s="146">
        <v>1200</v>
      </c>
      <c r="H79" s="146"/>
      <c r="I79" s="146"/>
      <c r="J79" s="146"/>
      <c r="K79" s="146"/>
      <c r="L79" s="146">
        <v>6</v>
      </c>
      <c r="M79" s="146">
        <v>41</v>
      </c>
      <c r="N79" s="146"/>
      <c r="O79" s="146"/>
      <c r="P79" s="146"/>
      <c r="Q79" s="146"/>
      <c r="R79" s="146"/>
      <c r="S79" s="146"/>
      <c r="T79" s="146"/>
      <c r="U79" s="146"/>
      <c r="V79" s="147"/>
    </row>
    <row r="80" spans="1:22" ht="16.5">
      <c r="A80" s="179"/>
      <c r="B80" s="133">
        <v>11</v>
      </c>
      <c r="C80" s="146">
        <f>SUM(D80:V80)</f>
        <v>1034</v>
      </c>
      <c r="D80" s="146">
        <v>3</v>
      </c>
      <c r="E80" s="146"/>
      <c r="F80" s="146"/>
      <c r="G80" s="266">
        <v>1000</v>
      </c>
      <c r="H80" s="146"/>
      <c r="I80" s="146"/>
      <c r="J80" s="146"/>
      <c r="K80" s="146"/>
      <c r="L80" s="146">
        <v>11</v>
      </c>
      <c r="M80" s="146">
        <v>20</v>
      </c>
      <c r="N80" s="146"/>
      <c r="O80" s="146"/>
      <c r="P80" s="146"/>
      <c r="Q80" s="146"/>
      <c r="R80" s="146"/>
      <c r="S80" s="146"/>
      <c r="T80" s="146"/>
      <c r="U80" s="146"/>
      <c r="V80" s="147"/>
    </row>
    <row r="81" spans="1:22" ht="17.25" thickBot="1">
      <c r="A81" s="179"/>
      <c r="B81" s="134">
        <v>12</v>
      </c>
      <c r="C81" s="148">
        <f>SUM(D81:V81)</f>
        <v>945</v>
      </c>
      <c r="D81" s="148">
        <v>5</v>
      </c>
      <c r="E81" s="148"/>
      <c r="F81" s="148"/>
      <c r="G81" s="148">
        <v>900</v>
      </c>
      <c r="H81" s="148"/>
      <c r="I81" s="148"/>
      <c r="J81" s="148"/>
      <c r="K81" s="148"/>
      <c r="L81" s="148">
        <v>15</v>
      </c>
      <c r="M81" s="148">
        <v>25</v>
      </c>
      <c r="N81" s="148"/>
      <c r="O81" s="148"/>
      <c r="P81" s="148"/>
      <c r="Q81" s="148"/>
      <c r="R81" s="148"/>
      <c r="S81" s="148"/>
      <c r="T81" s="148"/>
      <c r="U81" s="148"/>
      <c r="V81" s="149"/>
    </row>
    <row r="82" spans="2:22" ht="17.25" thickTop="1">
      <c r="B82" s="176">
        <v>104.1</v>
      </c>
      <c r="C82" s="180">
        <f aca="true" t="shared" si="2" ref="C82:C105">SUM(D82:V82)</f>
        <v>1593</v>
      </c>
      <c r="D82" s="180">
        <v>3</v>
      </c>
      <c r="E82" s="180"/>
      <c r="F82" s="180"/>
      <c r="G82" s="180">
        <v>1500</v>
      </c>
      <c r="H82" s="180"/>
      <c r="I82" s="180"/>
      <c r="J82" s="180"/>
      <c r="K82" s="180"/>
      <c r="L82" s="180">
        <v>30</v>
      </c>
      <c r="M82" s="180">
        <v>60</v>
      </c>
      <c r="N82" s="180"/>
      <c r="O82" s="180"/>
      <c r="P82" s="180"/>
      <c r="Q82" s="180"/>
      <c r="R82" s="180"/>
      <c r="S82" s="180"/>
      <c r="T82" s="180"/>
      <c r="U82" s="180"/>
      <c r="V82" s="180"/>
    </row>
    <row r="83" spans="2:22" ht="16.5">
      <c r="B83" s="175">
        <v>2</v>
      </c>
      <c r="C83" s="146">
        <f t="shared" si="2"/>
        <v>358</v>
      </c>
      <c r="D83" s="146">
        <v>2</v>
      </c>
      <c r="E83" s="146"/>
      <c r="F83" s="146"/>
      <c r="G83" s="146">
        <v>310</v>
      </c>
      <c r="H83" s="146"/>
      <c r="I83" s="146"/>
      <c r="J83" s="146"/>
      <c r="K83" s="146"/>
      <c r="L83" s="146">
        <v>6</v>
      </c>
      <c r="M83" s="146">
        <v>40</v>
      </c>
      <c r="N83" s="146"/>
      <c r="O83" s="146"/>
      <c r="P83" s="146"/>
      <c r="Q83" s="146"/>
      <c r="R83" s="146"/>
      <c r="S83" s="146"/>
      <c r="T83" s="146"/>
      <c r="U83" s="146"/>
      <c r="V83" s="146"/>
    </row>
    <row r="84" spans="2:22" ht="16.5">
      <c r="B84" s="175">
        <v>3</v>
      </c>
      <c r="C84" s="146">
        <f t="shared" si="2"/>
        <v>460</v>
      </c>
      <c r="D84" s="146">
        <v>4</v>
      </c>
      <c r="E84" s="146"/>
      <c r="F84" s="146"/>
      <c r="G84" s="146">
        <v>400</v>
      </c>
      <c r="H84" s="146"/>
      <c r="I84" s="146"/>
      <c r="J84" s="146"/>
      <c r="K84" s="146"/>
      <c r="L84" s="146">
        <v>26</v>
      </c>
      <c r="M84" s="146">
        <v>30</v>
      </c>
      <c r="N84" s="146"/>
      <c r="O84" s="146"/>
      <c r="P84" s="146"/>
      <c r="Q84" s="146"/>
      <c r="R84" s="146"/>
      <c r="S84" s="146"/>
      <c r="T84" s="146"/>
      <c r="U84" s="146"/>
      <c r="V84" s="146"/>
    </row>
    <row r="85" spans="2:22" ht="16.5">
      <c r="B85" s="175">
        <v>4</v>
      </c>
      <c r="C85" s="146">
        <f t="shared" si="2"/>
        <v>303</v>
      </c>
      <c r="D85" s="146">
        <v>3</v>
      </c>
      <c r="E85" s="146"/>
      <c r="F85" s="146"/>
      <c r="G85" s="146">
        <v>300</v>
      </c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</row>
    <row r="86" spans="2:22" ht="16.5">
      <c r="B86" s="175">
        <v>5</v>
      </c>
      <c r="C86" s="146">
        <f t="shared" si="2"/>
        <v>154</v>
      </c>
      <c r="D86" s="146">
        <v>4</v>
      </c>
      <c r="E86" s="146"/>
      <c r="F86" s="146"/>
      <c r="G86" s="146">
        <v>150</v>
      </c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</row>
    <row r="87" spans="2:22" ht="16.5">
      <c r="B87" s="175">
        <v>6</v>
      </c>
      <c r="C87" s="146">
        <f t="shared" si="2"/>
        <v>353</v>
      </c>
      <c r="D87" s="146">
        <v>3</v>
      </c>
      <c r="E87" s="146"/>
      <c r="F87" s="146"/>
      <c r="G87" s="146">
        <v>350</v>
      </c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</row>
    <row r="88" spans="2:22" ht="16.5">
      <c r="B88" s="175">
        <v>7</v>
      </c>
      <c r="C88" s="146">
        <f t="shared" si="2"/>
        <v>252</v>
      </c>
      <c r="D88" s="146">
        <v>2</v>
      </c>
      <c r="E88" s="146"/>
      <c r="F88" s="146"/>
      <c r="G88" s="146">
        <v>250</v>
      </c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</row>
    <row r="89" spans="2:22" ht="16.5">
      <c r="B89" s="175">
        <v>8</v>
      </c>
      <c r="C89" s="146">
        <f t="shared" si="2"/>
        <v>4</v>
      </c>
      <c r="D89" s="146">
        <v>4</v>
      </c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</row>
    <row r="90" spans="2:22" ht="16.5">
      <c r="B90" s="175">
        <v>9</v>
      </c>
      <c r="C90" s="146">
        <f t="shared" si="2"/>
        <v>63</v>
      </c>
      <c r="D90" s="146">
        <v>3</v>
      </c>
      <c r="E90" s="146"/>
      <c r="F90" s="146"/>
      <c r="G90" s="146">
        <v>60</v>
      </c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</row>
    <row r="91" spans="2:22" ht="16.5">
      <c r="B91" s="175">
        <v>10</v>
      </c>
      <c r="C91" s="146">
        <f t="shared" si="2"/>
        <v>254</v>
      </c>
      <c r="D91" s="146">
        <v>4</v>
      </c>
      <c r="E91" s="146"/>
      <c r="F91" s="146"/>
      <c r="G91" s="146">
        <v>250</v>
      </c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</row>
    <row r="92" spans="2:22" ht="16.5">
      <c r="B92" s="175">
        <v>11</v>
      </c>
      <c r="C92" s="146">
        <f t="shared" si="2"/>
        <v>2805</v>
      </c>
      <c r="D92" s="146">
        <v>5</v>
      </c>
      <c r="E92" s="146"/>
      <c r="F92" s="146"/>
      <c r="G92" s="146">
        <v>2800</v>
      </c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</row>
    <row r="93" spans="2:22" ht="17.25" thickBot="1">
      <c r="B93" s="177">
        <v>12</v>
      </c>
      <c r="C93" s="148">
        <f t="shared" si="2"/>
        <v>3604</v>
      </c>
      <c r="D93" s="148">
        <v>4</v>
      </c>
      <c r="E93" s="148"/>
      <c r="F93" s="148"/>
      <c r="G93" s="148">
        <v>3600</v>
      </c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</row>
    <row r="94" spans="2:22" ht="17.25" thickTop="1">
      <c r="B94" s="176">
        <v>105.1</v>
      </c>
      <c r="C94" s="180">
        <f t="shared" si="2"/>
        <v>5207</v>
      </c>
      <c r="D94" s="180">
        <v>7</v>
      </c>
      <c r="E94" s="180"/>
      <c r="F94" s="180"/>
      <c r="G94" s="180">
        <v>5200</v>
      </c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</row>
    <row r="95" spans="2:22" ht="16.5">
      <c r="B95" s="175">
        <v>2</v>
      </c>
      <c r="C95" s="146">
        <f t="shared" si="2"/>
        <v>102</v>
      </c>
      <c r="D95" s="146">
        <v>2</v>
      </c>
      <c r="E95" s="146"/>
      <c r="F95" s="146"/>
      <c r="G95" s="146">
        <v>100</v>
      </c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</row>
    <row r="96" spans="2:22" ht="16.5">
      <c r="B96" s="175">
        <v>3</v>
      </c>
      <c r="C96" s="146">
        <f t="shared" si="2"/>
        <v>305</v>
      </c>
      <c r="D96" s="146">
        <v>5</v>
      </c>
      <c r="E96" s="146"/>
      <c r="F96" s="146"/>
      <c r="G96" s="146">
        <v>300</v>
      </c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</row>
    <row r="97" spans="2:22" ht="16.5">
      <c r="B97" s="175">
        <v>4</v>
      </c>
      <c r="C97" s="146">
        <f t="shared" si="2"/>
        <v>153</v>
      </c>
      <c r="D97" s="146">
        <v>3</v>
      </c>
      <c r="E97" s="146"/>
      <c r="F97" s="146"/>
      <c r="G97" s="146">
        <v>150</v>
      </c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</row>
    <row r="98" spans="2:22" ht="16.5">
      <c r="B98" s="175">
        <v>5</v>
      </c>
      <c r="C98" s="146">
        <f t="shared" si="2"/>
        <v>95</v>
      </c>
      <c r="D98" s="146">
        <v>5</v>
      </c>
      <c r="E98" s="146"/>
      <c r="F98" s="146"/>
      <c r="G98" s="146">
        <v>90</v>
      </c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</row>
    <row r="99" spans="2:22" ht="16.5">
      <c r="B99" s="175">
        <v>6</v>
      </c>
      <c r="C99" s="146">
        <f t="shared" si="2"/>
        <v>326</v>
      </c>
      <c r="D99" s="146">
        <v>6</v>
      </c>
      <c r="E99" s="146"/>
      <c r="F99" s="146"/>
      <c r="G99" s="146">
        <v>320</v>
      </c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</row>
    <row r="100" spans="2:22" ht="16.5">
      <c r="B100" s="175">
        <v>7</v>
      </c>
      <c r="C100" s="146">
        <f t="shared" si="2"/>
        <v>503</v>
      </c>
      <c r="D100" s="146">
        <v>3</v>
      </c>
      <c r="E100" s="146"/>
      <c r="F100" s="146"/>
      <c r="G100" s="146">
        <v>500</v>
      </c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</row>
    <row r="101" spans="2:22" ht="16.5">
      <c r="B101" s="175">
        <v>8</v>
      </c>
      <c r="C101" s="146">
        <f t="shared" si="2"/>
        <v>254</v>
      </c>
      <c r="D101" s="146">
        <v>4</v>
      </c>
      <c r="E101" s="146"/>
      <c r="F101" s="146"/>
      <c r="G101" s="146">
        <v>250</v>
      </c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</row>
    <row r="102" spans="2:22" ht="16.5">
      <c r="B102" s="175">
        <v>9</v>
      </c>
      <c r="C102" s="146">
        <f t="shared" si="2"/>
        <v>506</v>
      </c>
      <c r="D102" s="146">
        <v>6</v>
      </c>
      <c r="E102" s="146"/>
      <c r="F102" s="146"/>
      <c r="G102" s="146">
        <v>500</v>
      </c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</row>
    <row r="103" spans="2:22" ht="16.5">
      <c r="B103" s="175">
        <v>10</v>
      </c>
      <c r="C103" s="146">
        <f t="shared" si="2"/>
        <v>805</v>
      </c>
      <c r="D103" s="146">
        <v>5</v>
      </c>
      <c r="E103" s="146"/>
      <c r="F103" s="146"/>
      <c r="G103" s="146">
        <v>800</v>
      </c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</row>
    <row r="104" spans="2:22" ht="16.5">
      <c r="B104" s="175">
        <v>11</v>
      </c>
      <c r="C104" s="146">
        <f t="shared" si="2"/>
        <v>357</v>
      </c>
      <c r="D104" s="146">
        <v>7</v>
      </c>
      <c r="E104" s="146"/>
      <c r="F104" s="146"/>
      <c r="G104" s="146">
        <v>350</v>
      </c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</row>
    <row r="105" spans="2:22" ht="17.25" thickBot="1">
      <c r="B105" s="177">
        <v>12</v>
      </c>
      <c r="C105" s="148">
        <f t="shared" si="2"/>
        <v>205</v>
      </c>
      <c r="D105" s="148">
        <v>5</v>
      </c>
      <c r="E105" s="148"/>
      <c r="F105" s="148"/>
      <c r="G105" s="148">
        <v>200</v>
      </c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</row>
    <row r="106" spans="2:22" ht="17.25" thickTop="1">
      <c r="B106" s="176">
        <v>106.1</v>
      </c>
      <c r="C106" s="180">
        <f aca="true" t="shared" si="3" ref="C106:C117">SUM(D106:V106)</f>
        <v>353</v>
      </c>
      <c r="D106" s="180">
        <v>3</v>
      </c>
      <c r="E106" s="180"/>
      <c r="F106" s="180"/>
      <c r="G106" s="180">
        <v>350</v>
      </c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</row>
    <row r="107" spans="2:22" ht="16.5">
      <c r="B107" s="175">
        <v>2</v>
      </c>
      <c r="C107" s="146">
        <f t="shared" si="3"/>
        <v>252</v>
      </c>
      <c r="D107" s="146">
        <v>2</v>
      </c>
      <c r="E107" s="146"/>
      <c r="F107" s="146"/>
      <c r="G107" s="146">
        <v>250</v>
      </c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</row>
    <row r="108" spans="2:22" ht="16.5">
      <c r="B108" s="175">
        <v>3</v>
      </c>
      <c r="C108" s="146">
        <f t="shared" si="3"/>
        <v>454</v>
      </c>
      <c r="D108" s="146">
        <v>4</v>
      </c>
      <c r="E108" s="146"/>
      <c r="F108" s="146"/>
      <c r="G108" s="146">
        <v>450</v>
      </c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</row>
    <row r="109" spans="2:22" ht="16.5">
      <c r="B109" s="175">
        <v>4</v>
      </c>
      <c r="C109" s="146">
        <f t="shared" si="3"/>
        <v>423</v>
      </c>
      <c r="D109" s="146">
        <v>3</v>
      </c>
      <c r="E109" s="146"/>
      <c r="F109" s="146"/>
      <c r="G109" s="146">
        <v>420</v>
      </c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</row>
    <row r="110" spans="2:22" ht="16.5">
      <c r="B110" s="175">
        <v>5</v>
      </c>
      <c r="C110" s="146">
        <f t="shared" si="3"/>
        <v>566</v>
      </c>
      <c r="D110" s="146">
        <v>6</v>
      </c>
      <c r="E110" s="146"/>
      <c r="F110" s="146"/>
      <c r="G110" s="146">
        <v>560</v>
      </c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</row>
    <row r="111" spans="2:22" ht="16.5">
      <c r="B111" s="175">
        <v>6</v>
      </c>
      <c r="C111" s="146">
        <f t="shared" si="3"/>
        <v>1004</v>
      </c>
      <c r="D111" s="146">
        <v>4</v>
      </c>
      <c r="E111" s="146"/>
      <c r="F111" s="146"/>
      <c r="G111" s="146">
        <v>1000</v>
      </c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</row>
    <row r="112" spans="2:22" ht="16.5">
      <c r="B112" s="175">
        <v>7</v>
      </c>
      <c r="C112" s="146">
        <f t="shared" si="3"/>
        <v>362</v>
      </c>
      <c r="D112" s="146">
        <v>2</v>
      </c>
      <c r="E112" s="146"/>
      <c r="F112" s="146"/>
      <c r="G112" s="146">
        <v>360</v>
      </c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</row>
    <row r="113" spans="2:22" ht="16.5">
      <c r="B113" s="175">
        <v>8</v>
      </c>
      <c r="C113" s="146">
        <f t="shared" si="3"/>
        <v>723</v>
      </c>
      <c r="D113" s="146">
        <v>3</v>
      </c>
      <c r="E113" s="146"/>
      <c r="F113" s="146"/>
      <c r="G113" s="146">
        <v>720</v>
      </c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</row>
    <row r="114" spans="2:22" ht="16.5">
      <c r="B114" s="175">
        <v>9</v>
      </c>
      <c r="C114" s="146">
        <f t="shared" si="3"/>
        <v>362</v>
      </c>
      <c r="D114" s="146">
        <v>2</v>
      </c>
      <c r="E114" s="146"/>
      <c r="F114" s="146"/>
      <c r="G114" s="146">
        <v>360</v>
      </c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</row>
    <row r="115" spans="2:22" ht="16.5">
      <c r="B115" s="175">
        <v>10</v>
      </c>
      <c r="C115" s="146">
        <f t="shared" si="3"/>
        <v>413</v>
      </c>
      <c r="D115" s="146">
        <v>3</v>
      </c>
      <c r="E115" s="146"/>
      <c r="F115" s="146"/>
      <c r="G115" s="146">
        <v>410</v>
      </c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</row>
    <row r="116" spans="2:22" ht="16.5">
      <c r="B116" s="175">
        <v>11</v>
      </c>
      <c r="C116" s="146">
        <f t="shared" si="3"/>
        <v>291</v>
      </c>
      <c r="D116" s="146">
        <v>1</v>
      </c>
      <c r="E116" s="146"/>
      <c r="F116" s="146"/>
      <c r="G116" s="146">
        <v>290</v>
      </c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</row>
    <row r="117" spans="2:22" ht="17.25" thickBot="1">
      <c r="B117" s="177">
        <v>12</v>
      </c>
      <c r="C117" s="148">
        <f t="shared" si="3"/>
        <v>412</v>
      </c>
      <c r="D117" s="148">
        <v>2</v>
      </c>
      <c r="E117" s="148"/>
      <c r="F117" s="148"/>
      <c r="G117" s="148">
        <v>410</v>
      </c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</row>
    <row r="118" spans="2:22" ht="17.25" thickTop="1">
      <c r="B118" s="176">
        <v>107.1</v>
      </c>
      <c r="C118" s="180">
        <f aca="true" t="shared" si="4" ref="C118:C129">SUM(D118:V118)</f>
        <v>633</v>
      </c>
      <c r="D118" s="180">
        <v>3</v>
      </c>
      <c r="E118" s="180"/>
      <c r="F118" s="180"/>
      <c r="G118" s="180">
        <v>630</v>
      </c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</row>
    <row r="119" spans="2:22" ht="16.5">
      <c r="B119" s="175">
        <v>2</v>
      </c>
      <c r="C119" s="146">
        <f t="shared" si="4"/>
        <v>212</v>
      </c>
      <c r="D119" s="146">
        <v>2</v>
      </c>
      <c r="E119" s="146"/>
      <c r="F119" s="146"/>
      <c r="G119" s="146">
        <v>210</v>
      </c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</row>
    <row r="120" spans="2:22" ht="16.5">
      <c r="B120" s="175">
        <v>3</v>
      </c>
      <c r="C120" s="146">
        <f t="shared" si="4"/>
        <v>605</v>
      </c>
      <c r="D120" s="146">
        <v>5</v>
      </c>
      <c r="E120" s="146"/>
      <c r="F120" s="146"/>
      <c r="G120" s="146">
        <v>600</v>
      </c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</row>
    <row r="121" spans="2:22" ht="16.5">
      <c r="B121" s="175">
        <v>4</v>
      </c>
      <c r="C121" s="146">
        <f t="shared" si="4"/>
        <v>423</v>
      </c>
      <c r="D121" s="146">
        <v>3</v>
      </c>
      <c r="E121" s="146"/>
      <c r="F121" s="146"/>
      <c r="G121" s="146">
        <v>420</v>
      </c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</row>
    <row r="122" spans="2:22" ht="16.5">
      <c r="B122" s="175">
        <v>5</v>
      </c>
      <c r="C122" s="146">
        <f t="shared" si="4"/>
        <v>361</v>
      </c>
      <c r="D122" s="146">
        <v>1</v>
      </c>
      <c r="E122" s="146"/>
      <c r="F122" s="146"/>
      <c r="G122" s="146">
        <v>360</v>
      </c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</row>
    <row r="123" spans="2:22" ht="16.5">
      <c r="B123" s="175">
        <v>6</v>
      </c>
      <c r="C123" s="146">
        <f t="shared" si="4"/>
        <v>463</v>
      </c>
      <c r="D123" s="146">
        <v>3</v>
      </c>
      <c r="E123" s="146"/>
      <c r="F123" s="146"/>
      <c r="G123" s="146">
        <v>460</v>
      </c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</row>
    <row r="124" spans="2:22" ht="16.5">
      <c r="B124" s="175">
        <v>7</v>
      </c>
      <c r="C124" s="146">
        <f t="shared" si="4"/>
        <v>514</v>
      </c>
      <c r="D124" s="146">
        <v>4</v>
      </c>
      <c r="E124" s="146"/>
      <c r="F124" s="146"/>
      <c r="G124" s="146">
        <v>510</v>
      </c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</row>
    <row r="125" spans="2:22" ht="16.5">
      <c r="B125" s="175">
        <v>8</v>
      </c>
      <c r="C125" s="146">
        <f t="shared" si="4"/>
        <v>668</v>
      </c>
      <c r="D125" s="146">
        <v>8</v>
      </c>
      <c r="E125" s="146"/>
      <c r="F125" s="146"/>
      <c r="G125" s="146">
        <v>660</v>
      </c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</row>
    <row r="126" spans="2:22" ht="16.5">
      <c r="B126" s="175">
        <v>9</v>
      </c>
      <c r="C126" s="146">
        <f t="shared" si="4"/>
        <v>765</v>
      </c>
      <c r="D126" s="146">
        <v>5</v>
      </c>
      <c r="E126" s="146"/>
      <c r="F126" s="146"/>
      <c r="G126" s="146">
        <v>760</v>
      </c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</row>
    <row r="127" spans="2:22" ht="16.5">
      <c r="B127" s="175">
        <v>10</v>
      </c>
      <c r="C127" s="146">
        <f t="shared" si="4"/>
        <v>668</v>
      </c>
      <c r="D127" s="146">
        <v>8</v>
      </c>
      <c r="E127" s="146"/>
      <c r="F127" s="146"/>
      <c r="G127" s="146">
        <v>660</v>
      </c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</row>
    <row r="128" spans="2:22" ht="16.5">
      <c r="B128" s="175">
        <v>11</v>
      </c>
      <c r="C128" s="146">
        <f t="shared" si="4"/>
        <v>0</v>
      </c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</row>
    <row r="129" spans="2:22" ht="17.25" thickBot="1">
      <c r="B129" s="177">
        <v>12</v>
      </c>
      <c r="C129" s="148">
        <f t="shared" si="4"/>
        <v>0</v>
      </c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</row>
    <row r="130" ht="17.25" thickTop="1"/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2"/>
  </sheetPr>
  <dimension ref="B1:W177"/>
  <sheetViews>
    <sheetView zoomScalePageLayoutView="0" workbookViewId="0" topLeftCell="A1">
      <pane ySplit="2" topLeftCell="A127" activePane="bottomLeft" state="frozen"/>
      <selection pane="topLeft" activeCell="K15" sqref="K15"/>
      <selection pane="bottomLeft" activeCell="A127" sqref="A127:IV127"/>
    </sheetView>
  </sheetViews>
  <sheetFormatPr defaultColWidth="8.875" defaultRowHeight="16.5"/>
  <cols>
    <col min="1" max="1" width="8.875" style="4" customWidth="1"/>
    <col min="2" max="2" width="10.625" style="4" customWidth="1"/>
    <col min="3" max="3" width="6.875" style="4" customWidth="1"/>
    <col min="4" max="4" width="6.75390625" style="241" customWidth="1"/>
    <col min="5" max="23" width="5.75390625" style="241" customWidth="1"/>
    <col min="24" max="16384" width="8.875" style="4" customWidth="1"/>
  </cols>
  <sheetData>
    <row r="1" spans="2:23" s="69" customFormat="1" ht="11.25" thickBot="1">
      <c r="B1" s="206"/>
      <c r="D1" s="207">
        <v>1</v>
      </c>
      <c r="E1" s="207">
        <v>2</v>
      </c>
      <c r="F1" s="207">
        <v>3</v>
      </c>
      <c r="G1" s="207">
        <v>4</v>
      </c>
      <c r="H1" s="207">
        <v>5</v>
      </c>
      <c r="I1" s="207">
        <v>6</v>
      </c>
      <c r="J1" s="207">
        <v>7</v>
      </c>
      <c r="K1" s="207">
        <v>8</v>
      </c>
      <c r="L1" s="207">
        <v>9</v>
      </c>
      <c r="M1" s="207">
        <v>0</v>
      </c>
      <c r="N1" s="207">
        <v>1</v>
      </c>
      <c r="O1" s="207">
        <v>2</v>
      </c>
      <c r="P1" s="207">
        <v>3</v>
      </c>
      <c r="Q1" s="207">
        <v>4</v>
      </c>
      <c r="R1" s="207">
        <v>5</v>
      </c>
      <c r="S1" s="207">
        <v>6</v>
      </c>
      <c r="T1" s="207">
        <v>7</v>
      </c>
      <c r="U1" s="207">
        <v>8</v>
      </c>
      <c r="V1" s="207">
        <v>9</v>
      </c>
      <c r="W1" s="207">
        <v>0</v>
      </c>
    </row>
    <row r="2" spans="2:23" ht="63.75" thickTop="1">
      <c r="B2" s="208" t="s">
        <v>56</v>
      </c>
      <c r="C2" s="132" t="s">
        <v>46</v>
      </c>
      <c r="D2" s="24" t="s">
        <v>32</v>
      </c>
      <c r="E2" s="25" t="s">
        <v>67</v>
      </c>
      <c r="F2" s="25" t="s">
        <v>43</v>
      </c>
      <c r="G2" s="25" t="s">
        <v>66</v>
      </c>
      <c r="H2" s="26" t="s">
        <v>5</v>
      </c>
      <c r="I2" s="27" t="s">
        <v>36</v>
      </c>
      <c r="J2" s="27" t="s">
        <v>65</v>
      </c>
      <c r="K2" s="27" t="s">
        <v>64</v>
      </c>
      <c r="L2" s="27" t="s">
        <v>38</v>
      </c>
      <c r="M2" s="25" t="s">
        <v>39</v>
      </c>
      <c r="N2" s="25" t="s">
        <v>40</v>
      </c>
      <c r="O2" s="27" t="s">
        <v>41</v>
      </c>
      <c r="P2" s="25" t="s">
        <v>33</v>
      </c>
      <c r="Q2" s="25" t="s">
        <v>34</v>
      </c>
      <c r="R2" s="25" t="s">
        <v>63</v>
      </c>
      <c r="S2" s="27" t="s">
        <v>16</v>
      </c>
      <c r="T2" s="28" t="s">
        <v>37</v>
      </c>
      <c r="U2" s="25" t="s">
        <v>17</v>
      </c>
      <c r="V2" s="28" t="s">
        <v>62</v>
      </c>
      <c r="W2" s="29" t="s">
        <v>61</v>
      </c>
    </row>
    <row r="3" spans="2:23" s="209" customFormat="1" ht="19.5" customHeight="1" hidden="1">
      <c r="B3" s="210" t="s">
        <v>58</v>
      </c>
      <c r="C3" s="211">
        <v>6</v>
      </c>
      <c r="D3" s="20">
        <f>SUM(E3:W3)</f>
        <v>0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2"/>
    </row>
    <row r="4" spans="2:23" s="212" customFormat="1" ht="19.5" customHeight="1" hidden="1">
      <c r="B4" s="213"/>
      <c r="C4" s="214">
        <v>7</v>
      </c>
      <c r="D4" s="20">
        <f>SUM(E4:W4)</f>
        <v>248.56621848739496</v>
      </c>
      <c r="E4" s="215">
        <v>200</v>
      </c>
      <c r="F4" s="215"/>
      <c r="G4" s="215">
        <f>65/50</f>
        <v>1.3</v>
      </c>
      <c r="H4" s="215"/>
      <c r="I4" s="215"/>
      <c r="J4" s="215">
        <f>132/23.8</f>
        <v>5.546218487394958</v>
      </c>
      <c r="K4" s="215">
        <v>1.9</v>
      </c>
      <c r="L4" s="215"/>
      <c r="M4" s="215"/>
      <c r="N4" s="215"/>
      <c r="O4" s="215"/>
      <c r="P4" s="215">
        <f>371/50</f>
        <v>7.42</v>
      </c>
      <c r="Q4" s="215"/>
      <c r="R4" s="215">
        <v>2.4</v>
      </c>
      <c r="S4" s="215"/>
      <c r="T4" s="215">
        <v>29</v>
      </c>
      <c r="U4" s="215"/>
      <c r="V4" s="215"/>
      <c r="W4" s="216">
        <f>2*0.5</f>
        <v>1</v>
      </c>
    </row>
    <row r="5" spans="2:23" s="212" customFormat="1" ht="19.5" customHeight="1" hidden="1">
      <c r="B5" s="213"/>
      <c r="C5" s="214">
        <v>8</v>
      </c>
      <c r="D5" s="18">
        <f aca="true" t="shared" si="0" ref="D5:D17">SUM(E5:W5)</f>
        <v>204.89529411764707</v>
      </c>
      <c r="E5" s="215">
        <v>170</v>
      </c>
      <c r="F5" s="215"/>
      <c r="G5" s="215">
        <f>25/50</f>
        <v>0.5</v>
      </c>
      <c r="H5" s="215"/>
      <c r="I5" s="215"/>
      <c r="J5" s="215">
        <f>77/23.8</f>
        <v>3.235294117647059</v>
      </c>
      <c r="K5" s="215">
        <v>0.4</v>
      </c>
      <c r="L5" s="215"/>
      <c r="M5" s="215"/>
      <c r="N5" s="215"/>
      <c r="O5" s="215"/>
      <c r="P5" s="215">
        <f>183/50</f>
        <v>3.66</v>
      </c>
      <c r="Q5" s="215"/>
      <c r="R5" s="215">
        <v>2.6</v>
      </c>
      <c r="S5" s="215"/>
      <c r="T5" s="215">
        <v>23</v>
      </c>
      <c r="U5" s="215"/>
      <c r="V5" s="215"/>
      <c r="W5" s="216">
        <f>3*0.5</f>
        <v>1.5</v>
      </c>
    </row>
    <row r="6" spans="2:23" s="212" customFormat="1" ht="19.5" customHeight="1" hidden="1">
      <c r="B6" s="213"/>
      <c r="C6" s="214">
        <v>9</v>
      </c>
      <c r="D6" s="18">
        <f t="shared" si="0"/>
        <v>156.69747899159665</v>
      </c>
      <c r="E6" s="215">
        <v>110</v>
      </c>
      <c r="F6" s="215"/>
      <c r="G6" s="215">
        <f>27/50</f>
        <v>0.54</v>
      </c>
      <c r="H6" s="215"/>
      <c r="I6" s="215"/>
      <c r="J6" s="215">
        <f>88/23.8</f>
        <v>3.6974789915966384</v>
      </c>
      <c r="K6" s="215">
        <v>0.6</v>
      </c>
      <c r="L6" s="215"/>
      <c r="M6" s="215"/>
      <c r="N6" s="215"/>
      <c r="O6" s="215"/>
      <c r="P6" s="215">
        <f>113/50</f>
        <v>2.26</v>
      </c>
      <c r="Q6" s="215"/>
      <c r="R6" s="215">
        <v>4.6</v>
      </c>
      <c r="S6" s="215"/>
      <c r="T6" s="215">
        <v>35</v>
      </c>
      <c r="U6" s="215"/>
      <c r="V6" s="215"/>
      <c r="W6" s="216"/>
    </row>
    <row r="7" spans="2:23" s="212" customFormat="1" ht="19.5" customHeight="1" hidden="1">
      <c r="B7" s="213"/>
      <c r="C7" s="214">
        <v>10</v>
      </c>
      <c r="D7" s="18">
        <f t="shared" si="0"/>
        <v>220.2613445378151</v>
      </c>
      <c r="E7" s="215">
        <v>180</v>
      </c>
      <c r="F7" s="215"/>
      <c r="G7" s="215">
        <f>60/50</f>
        <v>1.2</v>
      </c>
      <c r="H7" s="215"/>
      <c r="I7" s="215"/>
      <c r="J7" s="215">
        <f>80/23.8</f>
        <v>3.361344537815126</v>
      </c>
      <c r="K7" s="215">
        <v>4.5</v>
      </c>
      <c r="L7" s="215"/>
      <c r="M7" s="215"/>
      <c r="N7" s="215"/>
      <c r="O7" s="215"/>
      <c r="P7" s="215"/>
      <c r="Q7" s="215"/>
      <c r="R7" s="215">
        <v>4.2</v>
      </c>
      <c r="S7" s="215"/>
      <c r="T7" s="215">
        <v>25</v>
      </c>
      <c r="U7" s="215">
        <v>2</v>
      </c>
      <c r="V7" s="215"/>
      <c r="W7" s="216"/>
    </row>
    <row r="8" spans="2:23" s="212" customFormat="1" ht="19.5" customHeight="1" hidden="1">
      <c r="B8" s="213"/>
      <c r="C8" s="214">
        <v>11</v>
      </c>
      <c r="D8" s="18">
        <f t="shared" si="0"/>
        <v>283.67647058823536</v>
      </c>
      <c r="E8" s="215">
        <v>210</v>
      </c>
      <c r="F8" s="215"/>
      <c r="G8" s="215">
        <f>75/50</f>
        <v>1.5</v>
      </c>
      <c r="H8" s="215"/>
      <c r="I8" s="215"/>
      <c r="J8" s="215">
        <f>980/23.8</f>
        <v>41.17647058823529</v>
      </c>
      <c r="K8" s="215">
        <v>5.8</v>
      </c>
      <c r="L8" s="215"/>
      <c r="M8" s="215"/>
      <c r="N8" s="215"/>
      <c r="O8" s="215"/>
      <c r="P8" s="215"/>
      <c r="Q8" s="215"/>
      <c r="R8" s="215">
        <v>1.6</v>
      </c>
      <c r="S8" s="215"/>
      <c r="T8" s="215">
        <v>22</v>
      </c>
      <c r="U8" s="215">
        <v>1.1</v>
      </c>
      <c r="V8" s="215"/>
      <c r="W8" s="216">
        <f>1*0.5</f>
        <v>0.5</v>
      </c>
    </row>
    <row r="9" spans="2:23" s="212" customFormat="1" ht="19.5" customHeight="1" hidden="1">
      <c r="B9" s="213"/>
      <c r="C9" s="214">
        <v>12</v>
      </c>
      <c r="D9" s="18">
        <f t="shared" si="0"/>
        <v>762.8848739495797</v>
      </c>
      <c r="E9" s="215">
        <v>660</v>
      </c>
      <c r="F9" s="215"/>
      <c r="G9" s="215">
        <f>40/50</f>
        <v>0.8</v>
      </c>
      <c r="H9" s="215"/>
      <c r="I9" s="215"/>
      <c r="J9" s="215">
        <f>1480/23.8</f>
        <v>62.18487394957983</v>
      </c>
      <c r="K9" s="215">
        <v>10</v>
      </c>
      <c r="L9" s="215"/>
      <c r="M9" s="215"/>
      <c r="N9" s="215"/>
      <c r="O9" s="215"/>
      <c r="P9" s="215"/>
      <c r="Q9" s="215"/>
      <c r="R9" s="215">
        <v>1.5</v>
      </c>
      <c r="S9" s="215"/>
      <c r="T9" s="215">
        <v>26</v>
      </c>
      <c r="U9" s="215">
        <v>0.9</v>
      </c>
      <c r="V9" s="215"/>
      <c r="W9" s="216">
        <f>3*0.5</f>
        <v>1.5</v>
      </c>
    </row>
    <row r="10" spans="2:23" s="212" customFormat="1" ht="19.5" customHeight="1" hidden="1">
      <c r="B10" s="213" t="s">
        <v>57</v>
      </c>
      <c r="C10" s="214">
        <v>1</v>
      </c>
      <c r="D10" s="18">
        <f t="shared" si="0"/>
        <v>255.87394957983193</v>
      </c>
      <c r="E10" s="215">
        <v>220</v>
      </c>
      <c r="F10" s="215"/>
      <c r="G10" s="215">
        <f>35/50</f>
        <v>0.7</v>
      </c>
      <c r="H10" s="215"/>
      <c r="I10" s="215"/>
      <c r="J10" s="215">
        <f>116/23.8</f>
        <v>4.873949579831932</v>
      </c>
      <c r="K10" s="215">
        <v>5</v>
      </c>
      <c r="L10" s="215"/>
      <c r="M10" s="215"/>
      <c r="N10" s="215"/>
      <c r="O10" s="215"/>
      <c r="P10" s="215"/>
      <c r="Q10" s="215"/>
      <c r="R10" s="215">
        <v>1.8</v>
      </c>
      <c r="S10" s="215"/>
      <c r="T10" s="215">
        <v>23</v>
      </c>
      <c r="U10" s="215">
        <v>0.5</v>
      </c>
      <c r="V10" s="215"/>
      <c r="W10" s="216"/>
    </row>
    <row r="11" spans="2:23" s="212" customFormat="1" ht="19.5" customHeight="1" hidden="1">
      <c r="B11" s="213"/>
      <c r="C11" s="214">
        <v>2</v>
      </c>
      <c r="D11" s="18">
        <f t="shared" si="0"/>
        <v>363.6630252100841</v>
      </c>
      <c r="E11" s="215">
        <v>300</v>
      </c>
      <c r="F11" s="215"/>
      <c r="G11" s="215">
        <f>50/50</f>
        <v>1</v>
      </c>
      <c r="H11" s="215"/>
      <c r="I11" s="215"/>
      <c r="J11" s="215">
        <f>180/23.8</f>
        <v>7.563025210084033</v>
      </c>
      <c r="K11" s="215">
        <v>3.8</v>
      </c>
      <c r="L11" s="215"/>
      <c r="M11" s="215"/>
      <c r="N11" s="215"/>
      <c r="O11" s="215"/>
      <c r="P11" s="215"/>
      <c r="Q11" s="215"/>
      <c r="R11" s="215">
        <v>13.2</v>
      </c>
      <c r="S11" s="215"/>
      <c r="T11" s="215">
        <v>35</v>
      </c>
      <c r="U11" s="215">
        <v>1.6</v>
      </c>
      <c r="V11" s="215"/>
      <c r="W11" s="216">
        <f>3*0.5</f>
        <v>1.5</v>
      </c>
    </row>
    <row r="12" spans="2:23" s="212" customFormat="1" ht="19.5" customHeight="1" hidden="1">
      <c r="B12" s="213"/>
      <c r="C12" s="214">
        <v>3</v>
      </c>
      <c r="D12" s="18">
        <f t="shared" si="0"/>
        <v>451.5655462184874</v>
      </c>
      <c r="E12" s="215">
        <v>400</v>
      </c>
      <c r="F12" s="215"/>
      <c r="G12" s="215">
        <f>120/50</f>
        <v>2.4</v>
      </c>
      <c r="H12" s="215"/>
      <c r="I12" s="215"/>
      <c r="J12" s="215">
        <f>330/23.8</f>
        <v>13.865546218487394</v>
      </c>
      <c r="K12" s="215">
        <v>7.5</v>
      </c>
      <c r="L12" s="215"/>
      <c r="M12" s="215"/>
      <c r="N12" s="215"/>
      <c r="O12" s="215"/>
      <c r="P12" s="215"/>
      <c r="Q12" s="215"/>
      <c r="R12" s="215">
        <v>3</v>
      </c>
      <c r="S12" s="215"/>
      <c r="T12" s="215">
        <v>23</v>
      </c>
      <c r="U12" s="215">
        <v>1.8</v>
      </c>
      <c r="V12" s="215"/>
      <c r="W12" s="216"/>
    </row>
    <row r="13" spans="2:23" s="212" customFormat="1" ht="19.5" customHeight="1" hidden="1">
      <c r="B13" s="213"/>
      <c r="C13" s="214">
        <v>4</v>
      </c>
      <c r="D13" s="18">
        <f t="shared" si="0"/>
        <v>39</v>
      </c>
      <c r="E13" s="215"/>
      <c r="F13" s="215"/>
      <c r="G13" s="215"/>
      <c r="H13" s="215">
        <v>3.1</v>
      </c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>
        <v>3.4</v>
      </c>
      <c r="T13" s="215">
        <v>29</v>
      </c>
      <c r="U13" s="215"/>
      <c r="V13" s="215"/>
      <c r="W13" s="216">
        <f>7*0.5</f>
        <v>3.5</v>
      </c>
    </row>
    <row r="14" spans="2:23" s="217" customFormat="1" ht="19.5" customHeight="1" hidden="1">
      <c r="B14" s="218"/>
      <c r="C14" s="219">
        <v>5</v>
      </c>
      <c r="D14" s="79">
        <f t="shared" si="0"/>
        <v>477.7742857142857</v>
      </c>
      <c r="E14" s="220">
        <v>400</v>
      </c>
      <c r="F14" s="220"/>
      <c r="G14" s="220">
        <f>93/50</f>
        <v>1.86</v>
      </c>
      <c r="H14" s="220"/>
      <c r="I14" s="220"/>
      <c r="J14" s="220">
        <f>255/23.8</f>
        <v>10.714285714285714</v>
      </c>
      <c r="K14" s="220">
        <v>5.6</v>
      </c>
      <c r="L14" s="220"/>
      <c r="M14" s="220"/>
      <c r="N14" s="220"/>
      <c r="O14" s="220"/>
      <c r="P14" s="220"/>
      <c r="Q14" s="220"/>
      <c r="R14" s="220">
        <v>5.7</v>
      </c>
      <c r="S14" s="220"/>
      <c r="T14" s="220">
        <v>52</v>
      </c>
      <c r="U14" s="220">
        <v>1.9</v>
      </c>
      <c r="V14" s="220"/>
      <c r="W14" s="221"/>
    </row>
    <row r="15" spans="2:23" ht="19.5" customHeight="1" hidden="1">
      <c r="B15" s="222"/>
      <c r="C15" s="185">
        <v>6</v>
      </c>
      <c r="D15" s="11">
        <f t="shared" si="0"/>
        <v>443.8</v>
      </c>
      <c r="E15" s="215">
        <v>360</v>
      </c>
      <c r="F15" s="215"/>
      <c r="G15" s="215">
        <v>1.9</v>
      </c>
      <c r="H15" s="215"/>
      <c r="I15" s="215"/>
      <c r="J15" s="215">
        <v>26.8</v>
      </c>
      <c r="K15" s="215">
        <v>5.7</v>
      </c>
      <c r="L15" s="215"/>
      <c r="M15" s="215"/>
      <c r="N15" s="215"/>
      <c r="O15" s="215"/>
      <c r="P15" s="215"/>
      <c r="Q15" s="215"/>
      <c r="R15" s="215">
        <v>1.1</v>
      </c>
      <c r="S15" s="215"/>
      <c r="T15" s="215">
        <v>46</v>
      </c>
      <c r="U15" s="215">
        <v>0.8</v>
      </c>
      <c r="V15" s="215"/>
      <c r="W15" s="216">
        <v>1.5</v>
      </c>
    </row>
    <row r="16" spans="2:23" ht="19.5" customHeight="1" hidden="1">
      <c r="B16" s="222"/>
      <c r="C16" s="185">
        <v>7</v>
      </c>
      <c r="D16" s="11">
        <f t="shared" si="0"/>
        <v>306.09999999999997</v>
      </c>
      <c r="E16" s="215">
        <v>245</v>
      </c>
      <c r="F16" s="215"/>
      <c r="G16" s="215">
        <v>1.3</v>
      </c>
      <c r="H16" s="215"/>
      <c r="I16" s="215"/>
      <c r="J16" s="215">
        <v>4.9</v>
      </c>
      <c r="K16" s="215">
        <v>4.7</v>
      </c>
      <c r="L16" s="215"/>
      <c r="M16" s="215"/>
      <c r="N16" s="215"/>
      <c r="O16" s="215"/>
      <c r="P16" s="215"/>
      <c r="Q16" s="215"/>
      <c r="R16" s="215">
        <v>0.8</v>
      </c>
      <c r="S16" s="215"/>
      <c r="T16" s="215">
        <v>45</v>
      </c>
      <c r="U16" s="215">
        <v>1.4</v>
      </c>
      <c r="V16" s="215"/>
      <c r="W16" s="216">
        <v>3</v>
      </c>
    </row>
    <row r="17" spans="2:23" ht="19.5" customHeight="1" hidden="1">
      <c r="B17" s="222"/>
      <c r="C17" s="185">
        <v>8</v>
      </c>
      <c r="D17" s="11">
        <f t="shared" si="0"/>
        <v>711.7</v>
      </c>
      <c r="E17" s="215">
        <v>660</v>
      </c>
      <c r="F17" s="215">
        <v>10</v>
      </c>
      <c r="G17" s="215">
        <v>2.1</v>
      </c>
      <c r="H17" s="215"/>
      <c r="I17" s="215"/>
      <c r="J17" s="215">
        <v>7.4</v>
      </c>
      <c r="K17" s="215">
        <v>3.9</v>
      </c>
      <c r="L17" s="215"/>
      <c r="M17" s="215"/>
      <c r="N17" s="215"/>
      <c r="O17" s="215"/>
      <c r="P17" s="215"/>
      <c r="Q17" s="215"/>
      <c r="R17" s="215">
        <v>4.9</v>
      </c>
      <c r="S17" s="215"/>
      <c r="T17" s="215">
        <v>22</v>
      </c>
      <c r="U17" s="215">
        <v>1.2</v>
      </c>
      <c r="V17" s="215">
        <v>0.2</v>
      </c>
      <c r="W17" s="216"/>
    </row>
    <row r="18" spans="2:23" ht="19.5" customHeight="1" hidden="1">
      <c r="B18" s="222"/>
      <c r="C18" s="185">
        <v>9</v>
      </c>
      <c r="D18" s="131">
        <f>SUM(E18:W18)</f>
        <v>445.40000000000003</v>
      </c>
      <c r="E18" s="215">
        <v>415</v>
      </c>
      <c r="F18" s="215"/>
      <c r="G18" s="215">
        <v>2</v>
      </c>
      <c r="H18" s="215"/>
      <c r="I18" s="215"/>
      <c r="J18" s="215">
        <v>6.1</v>
      </c>
      <c r="K18" s="215">
        <v>2.4</v>
      </c>
      <c r="L18" s="215"/>
      <c r="M18" s="215"/>
      <c r="N18" s="215"/>
      <c r="O18" s="215"/>
      <c r="P18" s="215"/>
      <c r="Q18" s="215"/>
      <c r="R18" s="215">
        <v>1.1</v>
      </c>
      <c r="S18" s="215"/>
      <c r="T18" s="215">
        <v>18</v>
      </c>
      <c r="U18" s="215">
        <v>0.8</v>
      </c>
      <c r="V18" s="215"/>
      <c r="W18" s="223"/>
    </row>
    <row r="19" spans="2:23" ht="19.5" customHeight="1" hidden="1">
      <c r="B19" s="222"/>
      <c r="C19" s="185">
        <v>10</v>
      </c>
      <c r="D19" s="131">
        <f>SUM(E19:W19)</f>
        <v>610</v>
      </c>
      <c r="E19" s="224">
        <v>610</v>
      </c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3"/>
    </row>
    <row r="20" spans="2:23" ht="19.5" customHeight="1" hidden="1">
      <c r="B20" s="222"/>
      <c r="C20" s="185">
        <v>11</v>
      </c>
      <c r="D20" s="61">
        <f>SUM(E20:W20)</f>
        <v>691</v>
      </c>
      <c r="E20" s="225">
        <v>580</v>
      </c>
      <c r="F20" s="225"/>
      <c r="G20" s="225">
        <v>14</v>
      </c>
      <c r="H20" s="225"/>
      <c r="I20" s="225"/>
      <c r="J20" s="225">
        <v>43</v>
      </c>
      <c r="K20" s="225">
        <v>5</v>
      </c>
      <c r="L20" s="225"/>
      <c r="M20" s="225"/>
      <c r="N20" s="225"/>
      <c r="O20" s="225"/>
      <c r="P20" s="225"/>
      <c r="Q20" s="225"/>
      <c r="R20" s="225">
        <v>2</v>
      </c>
      <c r="S20" s="225">
        <v>15</v>
      </c>
      <c r="T20" s="225">
        <v>30</v>
      </c>
      <c r="U20" s="225">
        <v>1</v>
      </c>
      <c r="V20" s="225">
        <v>1</v>
      </c>
      <c r="W20" s="223"/>
    </row>
    <row r="21" spans="2:23" ht="19.5" customHeight="1" hidden="1">
      <c r="B21" s="222"/>
      <c r="C21" s="185">
        <v>12</v>
      </c>
      <c r="D21" s="61">
        <f aca="true" t="shared" si="1" ref="D21:D84">SUM(E21:W21)</f>
        <v>581.65</v>
      </c>
      <c r="E21" s="225">
        <v>530</v>
      </c>
      <c r="F21" s="225"/>
      <c r="G21" s="225"/>
      <c r="H21" s="225"/>
      <c r="I21" s="225"/>
      <c r="J21" s="225">
        <v>34</v>
      </c>
      <c r="K21" s="225">
        <v>7</v>
      </c>
      <c r="L21" s="225"/>
      <c r="M21" s="225"/>
      <c r="N21" s="225"/>
      <c r="O21" s="225"/>
      <c r="P21" s="225"/>
      <c r="Q21" s="225"/>
      <c r="R21" s="225">
        <v>1.05</v>
      </c>
      <c r="S21" s="225"/>
      <c r="T21" s="225">
        <v>5</v>
      </c>
      <c r="U21" s="225">
        <v>0.5</v>
      </c>
      <c r="V21" s="225">
        <v>3.6</v>
      </c>
      <c r="W21" s="223">
        <v>0.5</v>
      </c>
    </row>
    <row r="22" spans="2:23" ht="19.5" customHeight="1" hidden="1">
      <c r="B22" s="222" t="s">
        <v>59</v>
      </c>
      <c r="C22" s="185">
        <v>1</v>
      </c>
      <c r="D22" s="61">
        <f t="shared" si="1"/>
        <v>520.2</v>
      </c>
      <c r="E22" s="225">
        <v>300</v>
      </c>
      <c r="F22" s="225"/>
      <c r="G22" s="225">
        <v>46</v>
      </c>
      <c r="H22" s="225"/>
      <c r="I22" s="225"/>
      <c r="J22" s="225">
        <v>155</v>
      </c>
      <c r="K22" s="225">
        <v>10</v>
      </c>
      <c r="L22" s="225"/>
      <c r="M22" s="225"/>
      <c r="N22" s="225"/>
      <c r="O22" s="225"/>
      <c r="P22" s="225"/>
      <c r="Q22" s="225"/>
      <c r="R22" s="225">
        <v>0.2</v>
      </c>
      <c r="S22" s="225"/>
      <c r="T22" s="225">
        <v>3</v>
      </c>
      <c r="U22" s="225">
        <v>6</v>
      </c>
      <c r="V22" s="225"/>
      <c r="W22" s="223"/>
    </row>
    <row r="23" spans="2:23" ht="19.5" customHeight="1" hidden="1">
      <c r="B23" s="222"/>
      <c r="C23" s="185">
        <v>2</v>
      </c>
      <c r="D23" s="61">
        <f t="shared" si="1"/>
        <v>172.2</v>
      </c>
      <c r="E23" s="225">
        <v>100</v>
      </c>
      <c r="F23" s="225"/>
      <c r="G23" s="225">
        <v>18</v>
      </c>
      <c r="H23" s="225"/>
      <c r="I23" s="225"/>
      <c r="J23" s="225">
        <v>45</v>
      </c>
      <c r="K23" s="225">
        <v>5</v>
      </c>
      <c r="L23" s="225"/>
      <c r="M23" s="225"/>
      <c r="N23" s="225"/>
      <c r="O23" s="225"/>
      <c r="P23" s="225"/>
      <c r="Q23" s="225"/>
      <c r="R23" s="225">
        <v>0.2</v>
      </c>
      <c r="S23" s="225"/>
      <c r="T23" s="225">
        <v>2</v>
      </c>
      <c r="U23" s="225">
        <v>2</v>
      </c>
      <c r="V23" s="225"/>
      <c r="W23" s="223"/>
    </row>
    <row r="24" spans="2:23" ht="19.5" customHeight="1" hidden="1">
      <c r="B24" s="222"/>
      <c r="C24" s="185">
        <v>3</v>
      </c>
      <c r="D24" s="61">
        <f t="shared" si="1"/>
        <v>594.22</v>
      </c>
      <c r="E24" s="225">
        <v>390</v>
      </c>
      <c r="F24" s="225"/>
      <c r="G24" s="225">
        <v>15</v>
      </c>
      <c r="H24" s="225"/>
      <c r="I24" s="225"/>
      <c r="J24" s="225">
        <v>155</v>
      </c>
      <c r="K24" s="225">
        <v>18</v>
      </c>
      <c r="L24" s="225"/>
      <c r="M24" s="225"/>
      <c r="N24" s="225"/>
      <c r="O24" s="225"/>
      <c r="P24" s="225"/>
      <c r="Q24" s="225"/>
      <c r="R24" s="225">
        <v>0.32</v>
      </c>
      <c r="S24" s="225"/>
      <c r="T24" s="225">
        <v>4</v>
      </c>
      <c r="U24" s="225">
        <v>10</v>
      </c>
      <c r="V24" s="225">
        <v>0.9</v>
      </c>
      <c r="W24" s="223">
        <v>1</v>
      </c>
    </row>
    <row r="25" spans="2:23" ht="19.5" customHeight="1" hidden="1">
      <c r="B25" s="222"/>
      <c r="C25" s="185">
        <v>4</v>
      </c>
      <c r="D25" s="61">
        <f t="shared" si="1"/>
        <v>392.24</v>
      </c>
      <c r="E25" s="225">
        <v>230</v>
      </c>
      <c r="F25" s="225"/>
      <c r="G25" s="225">
        <v>14</v>
      </c>
      <c r="H25" s="225"/>
      <c r="I25" s="225"/>
      <c r="J25" s="225">
        <v>130</v>
      </c>
      <c r="K25" s="225">
        <v>10</v>
      </c>
      <c r="L25" s="225"/>
      <c r="M25" s="225"/>
      <c r="N25" s="225"/>
      <c r="O25" s="225"/>
      <c r="P25" s="225"/>
      <c r="Q25" s="225"/>
      <c r="R25" s="225">
        <v>0.24</v>
      </c>
      <c r="S25" s="225"/>
      <c r="T25" s="225">
        <v>3</v>
      </c>
      <c r="U25" s="225">
        <v>5</v>
      </c>
      <c r="V25" s="225"/>
      <c r="W25" s="223"/>
    </row>
    <row r="26" spans="2:23" ht="19.5" customHeight="1" hidden="1">
      <c r="B26" s="222"/>
      <c r="C26" s="185">
        <v>5</v>
      </c>
      <c r="D26" s="61">
        <f t="shared" si="1"/>
        <v>748.68</v>
      </c>
      <c r="E26" s="225">
        <v>425</v>
      </c>
      <c r="F26" s="225"/>
      <c r="G26" s="225">
        <v>19</v>
      </c>
      <c r="H26" s="225"/>
      <c r="I26" s="225"/>
      <c r="J26" s="225">
        <v>265</v>
      </c>
      <c r="K26" s="225">
        <v>19</v>
      </c>
      <c r="L26" s="225"/>
      <c r="M26" s="225"/>
      <c r="N26" s="225"/>
      <c r="O26" s="225"/>
      <c r="P26" s="225"/>
      <c r="Q26" s="225"/>
      <c r="R26" s="225">
        <v>0.18</v>
      </c>
      <c r="S26" s="225"/>
      <c r="T26" s="225">
        <v>2</v>
      </c>
      <c r="U26" s="225">
        <v>16</v>
      </c>
      <c r="V26" s="225"/>
      <c r="W26" s="223">
        <v>2.5</v>
      </c>
    </row>
    <row r="27" spans="2:23" ht="19.5" customHeight="1" hidden="1">
      <c r="B27" s="222"/>
      <c r="C27" s="185">
        <v>6</v>
      </c>
      <c r="D27" s="61">
        <f t="shared" si="1"/>
        <v>559.88</v>
      </c>
      <c r="E27" s="225">
        <v>268</v>
      </c>
      <c r="F27" s="225"/>
      <c r="G27" s="225">
        <v>18</v>
      </c>
      <c r="H27" s="225"/>
      <c r="I27" s="225"/>
      <c r="J27" s="225">
        <v>175</v>
      </c>
      <c r="K27" s="225">
        <v>77</v>
      </c>
      <c r="L27" s="225"/>
      <c r="M27" s="225"/>
      <c r="N27" s="225"/>
      <c r="O27" s="225"/>
      <c r="P27" s="225"/>
      <c r="Q27" s="225"/>
      <c r="R27" s="225">
        <v>1.73</v>
      </c>
      <c r="S27" s="225"/>
      <c r="T27" s="225">
        <v>4</v>
      </c>
      <c r="U27" s="225">
        <v>14</v>
      </c>
      <c r="V27" s="225">
        <v>0.15</v>
      </c>
      <c r="W27" s="223">
        <v>2</v>
      </c>
    </row>
    <row r="28" spans="2:23" ht="19.5" customHeight="1" hidden="1">
      <c r="B28" s="222"/>
      <c r="C28" s="185">
        <v>7</v>
      </c>
      <c r="D28" s="61">
        <f t="shared" si="1"/>
        <v>842.25</v>
      </c>
      <c r="E28" s="225">
        <v>405</v>
      </c>
      <c r="F28" s="225"/>
      <c r="G28" s="225">
        <v>22</v>
      </c>
      <c r="H28" s="225"/>
      <c r="I28" s="225"/>
      <c r="J28" s="225">
        <v>370</v>
      </c>
      <c r="K28" s="225">
        <v>20</v>
      </c>
      <c r="L28" s="225"/>
      <c r="M28" s="225"/>
      <c r="N28" s="225"/>
      <c r="O28" s="225"/>
      <c r="P28" s="225"/>
      <c r="Q28" s="225"/>
      <c r="R28" s="225">
        <v>0.25</v>
      </c>
      <c r="S28" s="225"/>
      <c r="T28" s="225">
        <v>2</v>
      </c>
      <c r="U28" s="225">
        <v>21</v>
      </c>
      <c r="V28" s="225"/>
      <c r="W28" s="223">
        <v>2</v>
      </c>
    </row>
    <row r="29" spans="2:23" ht="19.5" customHeight="1" hidden="1">
      <c r="B29" s="222"/>
      <c r="C29" s="185">
        <v>8</v>
      </c>
      <c r="D29" s="61">
        <f t="shared" si="1"/>
        <v>458.75</v>
      </c>
      <c r="E29" s="225">
        <v>225</v>
      </c>
      <c r="F29" s="225"/>
      <c r="G29" s="225">
        <v>19</v>
      </c>
      <c r="H29" s="225"/>
      <c r="I29" s="225"/>
      <c r="J29" s="225">
        <v>180</v>
      </c>
      <c r="K29" s="225">
        <v>15</v>
      </c>
      <c r="L29" s="225"/>
      <c r="M29" s="225"/>
      <c r="N29" s="225"/>
      <c r="O29" s="225"/>
      <c r="P29" s="225"/>
      <c r="Q29" s="225"/>
      <c r="R29" s="225">
        <v>0.25</v>
      </c>
      <c r="S29" s="225"/>
      <c r="T29" s="225">
        <v>4</v>
      </c>
      <c r="U29" s="225">
        <v>15</v>
      </c>
      <c r="V29" s="225">
        <v>0</v>
      </c>
      <c r="W29" s="223">
        <v>0.5</v>
      </c>
    </row>
    <row r="30" spans="2:23" ht="19.5" customHeight="1" hidden="1">
      <c r="B30" s="222"/>
      <c r="C30" s="185">
        <v>9</v>
      </c>
      <c r="D30" s="61">
        <f t="shared" si="1"/>
        <v>769.54</v>
      </c>
      <c r="E30" s="225">
        <v>490</v>
      </c>
      <c r="F30" s="225"/>
      <c r="G30" s="225">
        <v>20</v>
      </c>
      <c r="H30" s="225"/>
      <c r="I30" s="225"/>
      <c r="J30" s="225">
        <v>225</v>
      </c>
      <c r="K30" s="225">
        <v>17</v>
      </c>
      <c r="L30" s="225"/>
      <c r="M30" s="225"/>
      <c r="N30" s="225"/>
      <c r="O30" s="225"/>
      <c r="P30" s="225"/>
      <c r="Q30" s="225"/>
      <c r="R30" s="225">
        <v>0.54</v>
      </c>
      <c r="S30" s="225"/>
      <c r="T30" s="225">
        <v>3</v>
      </c>
      <c r="U30" s="225">
        <v>14</v>
      </c>
      <c r="V30" s="225">
        <v>0</v>
      </c>
      <c r="W30" s="223">
        <v>0</v>
      </c>
    </row>
    <row r="31" spans="2:23" ht="19.5" customHeight="1" hidden="1">
      <c r="B31" s="222"/>
      <c r="C31" s="185">
        <v>10</v>
      </c>
      <c r="D31" s="61">
        <f t="shared" si="1"/>
        <v>512.9</v>
      </c>
      <c r="E31" s="225">
        <v>290</v>
      </c>
      <c r="F31" s="225"/>
      <c r="G31" s="225">
        <v>23</v>
      </c>
      <c r="H31" s="225"/>
      <c r="I31" s="225"/>
      <c r="J31" s="225">
        <v>160</v>
      </c>
      <c r="K31" s="225">
        <v>21</v>
      </c>
      <c r="L31" s="225"/>
      <c r="M31" s="225"/>
      <c r="N31" s="225"/>
      <c r="O31" s="225"/>
      <c r="P31" s="225"/>
      <c r="Q31" s="225"/>
      <c r="R31" s="225">
        <v>0.385</v>
      </c>
      <c r="S31" s="225"/>
      <c r="T31" s="225">
        <v>2</v>
      </c>
      <c r="U31" s="225">
        <v>15</v>
      </c>
      <c r="V31" s="225">
        <v>0.015</v>
      </c>
      <c r="W31" s="223">
        <v>1.5</v>
      </c>
    </row>
    <row r="32" spans="2:23" ht="19.5" customHeight="1" hidden="1">
      <c r="B32" s="222"/>
      <c r="C32" s="185">
        <v>11</v>
      </c>
      <c r="D32" s="61">
        <f t="shared" si="1"/>
        <v>438.7</v>
      </c>
      <c r="E32" s="225">
        <v>233</v>
      </c>
      <c r="F32" s="225"/>
      <c r="G32" s="225">
        <v>23</v>
      </c>
      <c r="H32" s="225"/>
      <c r="I32" s="225"/>
      <c r="J32" s="225">
        <v>145</v>
      </c>
      <c r="K32" s="225">
        <v>18</v>
      </c>
      <c r="L32" s="225"/>
      <c r="M32" s="225"/>
      <c r="N32" s="225"/>
      <c r="O32" s="225"/>
      <c r="P32" s="225"/>
      <c r="Q32" s="225"/>
      <c r="R32" s="225">
        <v>1.2</v>
      </c>
      <c r="S32" s="225"/>
      <c r="T32" s="225">
        <v>4</v>
      </c>
      <c r="U32" s="225">
        <v>13</v>
      </c>
      <c r="V32" s="225">
        <v>0</v>
      </c>
      <c r="W32" s="223">
        <v>1.5</v>
      </c>
    </row>
    <row r="33" spans="2:23" ht="19.5" customHeight="1" hidden="1">
      <c r="B33" s="222"/>
      <c r="C33" s="185">
        <v>12</v>
      </c>
      <c r="D33" s="61">
        <f t="shared" si="1"/>
        <v>495.35999999999996</v>
      </c>
      <c r="E33" s="225">
        <v>243</v>
      </c>
      <c r="F33" s="225"/>
      <c r="G33" s="225">
        <v>21</v>
      </c>
      <c r="H33" s="225"/>
      <c r="I33" s="225"/>
      <c r="J33" s="225">
        <v>195</v>
      </c>
      <c r="K33" s="225">
        <v>17</v>
      </c>
      <c r="L33" s="225"/>
      <c r="M33" s="225"/>
      <c r="N33" s="225"/>
      <c r="O33" s="225"/>
      <c r="P33" s="225"/>
      <c r="Q33" s="225"/>
      <c r="R33" s="225">
        <v>0.58</v>
      </c>
      <c r="S33" s="225"/>
      <c r="T33" s="225">
        <v>2</v>
      </c>
      <c r="U33" s="225">
        <v>14</v>
      </c>
      <c r="V33" s="225">
        <v>0.78</v>
      </c>
      <c r="W33" s="223">
        <v>2</v>
      </c>
    </row>
    <row r="34" spans="2:23" ht="19.5" customHeight="1" hidden="1">
      <c r="B34" s="222" t="s">
        <v>70</v>
      </c>
      <c r="C34" s="185">
        <v>1</v>
      </c>
      <c r="D34" s="131">
        <f t="shared" si="1"/>
        <v>352.28</v>
      </c>
      <c r="E34" s="215">
        <v>200</v>
      </c>
      <c r="F34" s="215"/>
      <c r="G34" s="215">
        <v>14</v>
      </c>
      <c r="H34" s="215"/>
      <c r="I34" s="215"/>
      <c r="J34" s="215">
        <v>118</v>
      </c>
      <c r="K34" s="215">
        <v>13</v>
      </c>
      <c r="L34" s="215"/>
      <c r="M34" s="215"/>
      <c r="N34" s="215"/>
      <c r="O34" s="215"/>
      <c r="P34" s="215"/>
      <c r="Q34" s="215"/>
      <c r="R34" s="215">
        <v>0.28</v>
      </c>
      <c r="S34" s="215"/>
      <c r="T34" s="215">
        <v>2</v>
      </c>
      <c r="U34" s="215">
        <v>5</v>
      </c>
      <c r="V34" s="215">
        <v>0</v>
      </c>
      <c r="W34" s="216">
        <v>0</v>
      </c>
    </row>
    <row r="35" spans="2:23" ht="16.5" hidden="1">
      <c r="B35" s="222"/>
      <c r="C35" s="185">
        <v>2</v>
      </c>
      <c r="D35" s="226">
        <f t="shared" si="1"/>
        <v>112.622</v>
      </c>
      <c r="E35" s="226">
        <v>83</v>
      </c>
      <c r="F35" s="226"/>
      <c r="G35" s="226">
        <v>11</v>
      </c>
      <c r="H35" s="226"/>
      <c r="I35" s="226"/>
      <c r="J35" s="226">
        <v>0</v>
      </c>
      <c r="K35" s="226">
        <v>9</v>
      </c>
      <c r="L35" s="226"/>
      <c r="M35" s="226"/>
      <c r="N35" s="226"/>
      <c r="O35" s="226"/>
      <c r="P35" s="226"/>
      <c r="Q35" s="226"/>
      <c r="R35" s="226">
        <v>0.122</v>
      </c>
      <c r="S35" s="226"/>
      <c r="T35" s="226">
        <v>1</v>
      </c>
      <c r="U35" s="226">
        <v>8</v>
      </c>
      <c r="V35" s="226">
        <v>0</v>
      </c>
      <c r="W35" s="227">
        <v>0.5</v>
      </c>
    </row>
    <row r="36" spans="2:23" ht="16.5" hidden="1">
      <c r="B36" s="222"/>
      <c r="C36" s="185">
        <v>3</v>
      </c>
      <c r="D36" s="226">
        <f t="shared" si="1"/>
        <v>889.3000000000001</v>
      </c>
      <c r="E36" s="226">
        <v>670</v>
      </c>
      <c r="F36" s="226"/>
      <c r="G36" s="226">
        <v>45</v>
      </c>
      <c r="H36" s="226"/>
      <c r="I36" s="226"/>
      <c r="J36" s="226">
        <v>122</v>
      </c>
      <c r="K36" s="226">
        <v>21</v>
      </c>
      <c r="L36" s="226"/>
      <c r="M36" s="226"/>
      <c r="N36" s="226">
        <v>12</v>
      </c>
      <c r="O36" s="226"/>
      <c r="P36" s="226"/>
      <c r="Q36" s="226"/>
      <c r="R36" s="226">
        <v>0.08</v>
      </c>
      <c r="S36" s="226"/>
      <c r="T36" s="226">
        <v>3</v>
      </c>
      <c r="U36" s="226">
        <v>14</v>
      </c>
      <c r="V36" s="226">
        <v>0.72</v>
      </c>
      <c r="W36" s="227">
        <v>1.5</v>
      </c>
    </row>
    <row r="37" spans="2:23" ht="16.5" hidden="1">
      <c r="B37" s="222"/>
      <c r="C37" s="185">
        <v>4</v>
      </c>
      <c r="D37" s="226">
        <f t="shared" si="1"/>
        <v>366.48</v>
      </c>
      <c r="E37" s="226">
        <v>208</v>
      </c>
      <c r="F37" s="226"/>
      <c r="G37" s="226">
        <v>23</v>
      </c>
      <c r="H37" s="226"/>
      <c r="I37" s="226"/>
      <c r="J37" s="226">
        <v>115</v>
      </c>
      <c r="K37" s="226">
        <v>17</v>
      </c>
      <c r="L37" s="226"/>
      <c r="M37" s="226"/>
      <c r="N37" s="226"/>
      <c r="O37" s="226"/>
      <c r="P37" s="226"/>
      <c r="Q37" s="226"/>
      <c r="R37" s="226">
        <v>0.48</v>
      </c>
      <c r="S37" s="226"/>
      <c r="T37" s="226">
        <v>3</v>
      </c>
      <c r="U37" s="226">
        <v>0</v>
      </c>
      <c r="V37" s="226">
        <v>0</v>
      </c>
      <c r="W37" s="227">
        <v>0</v>
      </c>
    </row>
    <row r="38" spans="2:23" ht="16.5" hidden="1">
      <c r="B38" s="222"/>
      <c r="C38" s="185">
        <v>5</v>
      </c>
      <c r="D38" s="226">
        <f t="shared" si="1"/>
        <v>437.61</v>
      </c>
      <c r="E38" s="226">
        <v>220</v>
      </c>
      <c r="F38" s="226"/>
      <c r="G38" s="226">
        <v>31</v>
      </c>
      <c r="H38" s="226"/>
      <c r="I38" s="226"/>
      <c r="J38" s="226">
        <v>150</v>
      </c>
      <c r="K38" s="226">
        <v>16</v>
      </c>
      <c r="L38" s="226"/>
      <c r="M38" s="226"/>
      <c r="N38" s="226"/>
      <c r="O38" s="226"/>
      <c r="P38" s="226"/>
      <c r="Q38" s="226"/>
      <c r="R38" s="226">
        <v>0.11</v>
      </c>
      <c r="S38" s="226"/>
      <c r="T38" s="226">
        <v>2</v>
      </c>
      <c r="U38" s="226">
        <v>18</v>
      </c>
      <c r="V38" s="226"/>
      <c r="W38" s="227">
        <v>0.5</v>
      </c>
    </row>
    <row r="39" spans="2:23" ht="16.5" hidden="1">
      <c r="B39" s="222"/>
      <c r="C39" s="185">
        <v>6</v>
      </c>
      <c r="D39" s="226">
        <f t="shared" si="1"/>
        <v>508.03</v>
      </c>
      <c r="E39" s="226">
        <v>280</v>
      </c>
      <c r="F39" s="226"/>
      <c r="G39" s="226">
        <v>23</v>
      </c>
      <c r="H39" s="226"/>
      <c r="I39" s="226"/>
      <c r="J39" s="226">
        <v>170</v>
      </c>
      <c r="K39" s="226">
        <v>18</v>
      </c>
      <c r="L39" s="226"/>
      <c r="M39" s="226"/>
      <c r="N39" s="226"/>
      <c r="O39" s="226"/>
      <c r="P39" s="226"/>
      <c r="Q39" s="226"/>
      <c r="R39" s="226">
        <v>1.03</v>
      </c>
      <c r="S39" s="226"/>
      <c r="T39" s="226">
        <v>2</v>
      </c>
      <c r="U39" s="226">
        <v>14</v>
      </c>
      <c r="V39" s="226">
        <v>0</v>
      </c>
      <c r="W39" s="227">
        <v>0</v>
      </c>
    </row>
    <row r="40" spans="2:23" ht="16.5" hidden="1">
      <c r="B40" s="222"/>
      <c r="C40" s="185">
        <v>7</v>
      </c>
      <c r="D40" s="226">
        <f t="shared" si="1"/>
        <v>519.1600000000001</v>
      </c>
      <c r="E40" s="226">
        <v>218</v>
      </c>
      <c r="F40" s="226"/>
      <c r="G40" s="226">
        <v>28</v>
      </c>
      <c r="H40" s="226"/>
      <c r="I40" s="226"/>
      <c r="J40" s="226">
        <v>230</v>
      </c>
      <c r="K40" s="226">
        <v>28</v>
      </c>
      <c r="L40" s="226"/>
      <c r="M40" s="226"/>
      <c r="N40" s="226"/>
      <c r="O40" s="226"/>
      <c r="P40" s="226"/>
      <c r="Q40" s="226"/>
      <c r="R40" s="226">
        <v>0.66</v>
      </c>
      <c r="S40" s="226"/>
      <c r="T40" s="226">
        <v>2</v>
      </c>
      <c r="U40" s="226">
        <v>11</v>
      </c>
      <c r="V40" s="226">
        <v>0</v>
      </c>
      <c r="W40" s="227">
        <v>1.5</v>
      </c>
    </row>
    <row r="41" spans="2:23" ht="16.5" hidden="1">
      <c r="B41" s="222"/>
      <c r="C41" s="185">
        <v>8</v>
      </c>
      <c r="D41" s="226">
        <f t="shared" si="1"/>
        <v>352.345</v>
      </c>
      <c r="E41" s="226">
        <v>147</v>
      </c>
      <c r="F41" s="226"/>
      <c r="G41" s="226">
        <v>20</v>
      </c>
      <c r="H41" s="226"/>
      <c r="I41" s="226"/>
      <c r="J41" s="226">
        <v>153</v>
      </c>
      <c r="K41" s="226">
        <v>16</v>
      </c>
      <c r="L41" s="226"/>
      <c r="M41" s="226"/>
      <c r="N41" s="226"/>
      <c r="O41" s="226"/>
      <c r="P41" s="226"/>
      <c r="Q41" s="226"/>
      <c r="R41" s="226">
        <v>0.845</v>
      </c>
      <c r="S41" s="226"/>
      <c r="T41" s="226">
        <v>1</v>
      </c>
      <c r="U41" s="226">
        <v>14</v>
      </c>
      <c r="V41" s="226">
        <v>0</v>
      </c>
      <c r="W41" s="227">
        <v>0.5</v>
      </c>
    </row>
    <row r="42" spans="2:23" ht="16.5" hidden="1">
      <c r="B42" s="222"/>
      <c r="C42" s="185">
        <v>9</v>
      </c>
      <c r="D42" s="226">
        <f t="shared" si="1"/>
        <v>375.395</v>
      </c>
      <c r="E42" s="226">
        <v>185</v>
      </c>
      <c r="F42" s="226"/>
      <c r="G42" s="226">
        <v>27</v>
      </c>
      <c r="H42" s="226"/>
      <c r="I42" s="226"/>
      <c r="J42" s="226">
        <v>130</v>
      </c>
      <c r="K42" s="226">
        <v>19</v>
      </c>
      <c r="L42" s="226"/>
      <c r="M42" s="226"/>
      <c r="N42" s="226"/>
      <c r="O42" s="226"/>
      <c r="P42" s="226"/>
      <c r="Q42" s="226"/>
      <c r="R42" s="226">
        <v>0.395</v>
      </c>
      <c r="S42" s="226"/>
      <c r="T42" s="226">
        <v>2</v>
      </c>
      <c r="U42" s="226">
        <v>12</v>
      </c>
      <c r="V42" s="226">
        <v>0</v>
      </c>
      <c r="W42" s="227">
        <v>0</v>
      </c>
    </row>
    <row r="43" spans="2:23" ht="16.5" hidden="1">
      <c r="B43" s="222"/>
      <c r="C43" s="185">
        <v>10</v>
      </c>
      <c r="D43" s="226">
        <f t="shared" si="1"/>
        <v>573.495</v>
      </c>
      <c r="E43" s="226">
        <v>222</v>
      </c>
      <c r="F43" s="226"/>
      <c r="G43" s="226">
        <v>28</v>
      </c>
      <c r="H43" s="226"/>
      <c r="I43" s="226"/>
      <c r="J43" s="226">
        <v>180</v>
      </c>
      <c r="K43" s="226">
        <v>28</v>
      </c>
      <c r="L43" s="226"/>
      <c r="M43" s="226"/>
      <c r="N43" s="226">
        <v>96</v>
      </c>
      <c r="O43" s="226"/>
      <c r="P43" s="226"/>
      <c r="Q43" s="226"/>
      <c r="R43" s="226">
        <v>0.495</v>
      </c>
      <c r="S43" s="226"/>
      <c r="T43" s="226">
        <v>2</v>
      </c>
      <c r="U43" s="226">
        <v>17</v>
      </c>
      <c r="V43" s="226">
        <v>0</v>
      </c>
      <c r="W43" s="227">
        <v>0</v>
      </c>
    </row>
    <row r="44" spans="2:23" ht="16.5" hidden="1">
      <c r="B44" s="222"/>
      <c r="C44" s="185">
        <v>11</v>
      </c>
      <c r="D44" s="226">
        <f t="shared" si="1"/>
        <v>365.435</v>
      </c>
      <c r="E44" s="226">
        <v>176</v>
      </c>
      <c r="F44" s="226"/>
      <c r="G44" s="226">
        <v>22</v>
      </c>
      <c r="H44" s="226"/>
      <c r="I44" s="226"/>
      <c r="J44" s="226">
        <v>160</v>
      </c>
      <c r="K44" s="226">
        <v>4</v>
      </c>
      <c r="L44" s="226"/>
      <c r="M44" s="226"/>
      <c r="N44" s="226"/>
      <c r="O44" s="226"/>
      <c r="P44" s="226"/>
      <c r="Q44" s="226"/>
      <c r="R44" s="226">
        <v>0.435</v>
      </c>
      <c r="S44" s="226"/>
      <c r="T44" s="226">
        <v>2</v>
      </c>
      <c r="U44" s="226">
        <v>1</v>
      </c>
      <c r="V44" s="226">
        <v>0</v>
      </c>
      <c r="W44" s="227">
        <v>0</v>
      </c>
    </row>
    <row r="45" spans="2:23" ht="17.25" hidden="1" thickBot="1">
      <c r="B45" s="222"/>
      <c r="C45" s="186">
        <v>12</v>
      </c>
      <c r="D45" s="228">
        <f t="shared" si="1"/>
        <v>267.9</v>
      </c>
      <c r="E45" s="228">
        <v>203</v>
      </c>
      <c r="F45" s="228"/>
      <c r="G45" s="228">
        <v>3</v>
      </c>
      <c r="H45" s="228"/>
      <c r="I45" s="228"/>
      <c r="J45" s="228">
        <v>19</v>
      </c>
      <c r="K45" s="228">
        <v>13</v>
      </c>
      <c r="L45" s="228"/>
      <c r="M45" s="228"/>
      <c r="N45" s="228">
        <v>24</v>
      </c>
      <c r="O45" s="228"/>
      <c r="P45" s="228"/>
      <c r="Q45" s="228"/>
      <c r="R45" s="228">
        <v>0.9</v>
      </c>
      <c r="S45" s="228"/>
      <c r="T45" s="228">
        <v>2</v>
      </c>
      <c r="U45" s="228">
        <v>1</v>
      </c>
      <c r="V45" s="228">
        <v>0</v>
      </c>
      <c r="W45" s="229">
        <v>2</v>
      </c>
    </row>
    <row r="46" spans="2:23" ht="19.5" customHeight="1" hidden="1" thickTop="1">
      <c r="B46" s="191" t="s">
        <v>122</v>
      </c>
      <c r="C46" s="185">
        <v>1</v>
      </c>
      <c r="D46" s="230">
        <f t="shared" si="1"/>
        <v>220.16</v>
      </c>
      <c r="E46" s="231">
        <v>120</v>
      </c>
      <c r="F46" s="231"/>
      <c r="G46" s="231">
        <v>17</v>
      </c>
      <c r="H46" s="231"/>
      <c r="I46" s="231"/>
      <c r="J46" s="231">
        <v>60</v>
      </c>
      <c r="K46" s="231">
        <v>14</v>
      </c>
      <c r="L46" s="231"/>
      <c r="M46" s="231"/>
      <c r="N46" s="231"/>
      <c r="O46" s="231"/>
      <c r="P46" s="231"/>
      <c r="Q46" s="231"/>
      <c r="R46" s="231">
        <v>0.16</v>
      </c>
      <c r="S46" s="231"/>
      <c r="T46" s="231">
        <v>2</v>
      </c>
      <c r="U46" s="231">
        <v>7</v>
      </c>
      <c r="V46" s="231">
        <v>0</v>
      </c>
      <c r="W46" s="232">
        <v>0</v>
      </c>
    </row>
    <row r="47" spans="2:23" ht="16.5" hidden="1">
      <c r="B47" s="191"/>
      <c r="C47" s="185">
        <v>2</v>
      </c>
      <c r="D47" s="226">
        <f t="shared" si="1"/>
        <v>290.86</v>
      </c>
      <c r="E47" s="226">
        <v>275</v>
      </c>
      <c r="F47" s="226"/>
      <c r="G47" s="226">
        <v>0.75</v>
      </c>
      <c r="H47" s="226"/>
      <c r="I47" s="226"/>
      <c r="J47" s="226">
        <v>7.3</v>
      </c>
      <c r="K47" s="226">
        <v>3.5</v>
      </c>
      <c r="L47" s="226"/>
      <c r="M47" s="226"/>
      <c r="N47" s="226"/>
      <c r="O47" s="226"/>
      <c r="P47" s="226"/>
      <c r="Q47" s="226"/>
      <c r="R47" s="226">
        <v>0.31</v>
      </c>
      <c r="S47" s="226"/>
      <c r="T47" s="226">
        <v>2</v>
      </c>
      <c r="U47" s="226">
        <v>1</v>
      </c>
      <c r="V47" s="226"/>
      <c r="W47" s="227">
        <v>1</v>
      </c>
    </row>
    <row r="48" spans="2:23" ht="16.5" hidden="1">
      <c r="B48" s="191"/>
      <c r="C48" s="185">
        <v>3</v>
      </c>
      <c r="D48" s="226">
        <f t="shared" si="1"/>
        <v>277.37</v>
      </c>
      <c r="E48" s="226">
        <v>255</v>
      </c>
      <c r="F48" s="226"/>
      <c r="G48" s="226">
        <v>2.3</v>
      </c>
      <c r="H48" s="226"/>
      <c r="I48" s="226"/>
      <c r="J48" s="226">
        <v>12</v>
      </c>
      <c r="K48" s="226">
        <v>4.6</v>
      </c>
      <c r="L48" s="226"/>
      <c r="M48" s="226"/>
      <c r="N48" s="226"/>
      <c r="O48" s="226"/>
      <c r="P48" s="226"/>
      <c r="Q48" s="226"/>
      <c r="R48" s="226">
        <v>0.27</v>
      </c>
      <c r="S48" s="226"/>
      <c r="T48" s="226">
        <v>1</v>
      </c>
      <c r="U48" s="226">
        <v>1.2</v>
      </c>
      <c r="V48" s="226"/>
      <c r="W48" s="227">
        <v>1</v>
      </c>
    </row>
    <row r="49" spans="2:23" ht="16.5" hidden="1">
      <c r="B49" s="191"/>
      <c r="C49" s="185">
        <v>4</v>
      </c>
      <c r="D49" s="226">
        <f t="shared" si="1"/>
        <v>142.45</v>
      </c>
      <c r="E49" s="226">
        <v>120</v>
      </c>
      <c r="F49" s="226"/>
      <c r="G49" s="226">
        <v>1.7</v>
      </c>
      <c r="H49" s="226"/>
      <c r="I49" s="226"/>
      <c r="J49" s="226">
        <v>12.5</v>
      </c>
      <c r="K49" s="226">
        <v>3.8</v>
      </c>
      <c r="L49" s="226"/>
      <c r="M49" s="226"/>
      <c r="N49" s="226"/>
      <c r="O49" s="226"/>
      <c r="P49" s="226"/>
      <c r="Q49" s="226"/>
      <c r="R49" s="226">
        <v>0.35</v>
      </c>
      <c r="S49" s="226"/>
      <c r="T49" s="226">
        <v>2</v>
      </c>
      <c r="U49" s="226">
        <v>1.1</v>
      </c>
      <c r="V49" s="226"/>
      <c r="W49" s="227">
        <v>1</v>
      </c>
    </row>
    <row r="50" spans="2:23" ht="16.5" hidden="1">
      <c r="B50" s="191"/>
      <c r="C50" s="185">
        <v>5</v>
      </c>
      <c r="D50" s="226">
        <f t="shared" si="1"/>
        <v>198.06</v>
      </c>
      <c r="E50" s="226">
        <v>176</v>
      </c>
      <c r="F50" s="226"/>
      <c r="G50" s="226">
        <v>2.1</v>
      </c>
      <c r="H50" s="226"/>
      <c r="I50" s="226"/>
      <c r="J50" s="226">
        <v>11.8</v>
      </c>
      <c r="K50" s="226">
        <v>3</v>
      </c>
      <c r="L50" s="226"/>
      <c r="M50" s="226"/>
      <c r="N50" s="226"/>
      <c r="O50" s="226"/>
      <c r="P50" s="226"/>
      <c r="Q50" s="226"/>
      <c r="R50" s="226">
        <v>0.46</v>
      </c>
      <c r="S50" s="226"/>
      <c r="T50" s="226">
        <v>2</v>
      </c>
      <c r="U50" s="226">
        <v>1.2</v>
      </c>
      <c r="V50" s="226"/>
      <c r="W50" s="227">
        <v>1.5</v>
      </c>
    </row>
    <row r="51" spans="2:23" ht="16.5" hidden="1">
      <c r="B51" s="191"/>
      <c r="C51" s="185">
        <v>6</v>
      </c>
      <c r="D51" s="226">
        <f t="shared" si="1"/>
        <v>203.09999999999997</v>
      </c>
      <c r="E51" s="226">
        <v>178</v>
      </c>
      <c r="F51" s="226"/>
      <c r="G51" s="226">
        <v>2.7</v>
      </c>
      <c r="H51" s="226"/>
      <c r="I51" s="226"/>
      <c r="J51" s="226">
        <v>14.5</v>
      </c>
      <c r="K51" s="226">
        <v>4.2</v>
      </c>
      <c r="L51" s="226"/>
      <c r="M51" s="226"/>
      <c r="N51" s="226"/>
      <c r="O51" s="226"/>
      <c r="P51" s="226"/>
      <c r="Q51" s="226"/>
      <c r="R51" s="226">
        <v>0.7</v>
      </c>
      <c r="S51" s="226"/>
      <c r="T51" s="226">
        <v>1.5</v>
      </c>
      <c r="U51" s="226">
        <v>1.5</v>
      </c>
      <c r="V51" s="226"/>
      <c r="W51" s="227">
        <v>0</v>
      </c>
    </row>
    <row r="52" spans="2:23" ht="16.5" hidden="1">
      <c r="B52" s="191"/>
      <c r="C52" s="185">
        <v>7</v>
      </c>
      <c r="D52" s="226">
        <f t="shared" si="1"/>
        <v>224.1</v>
      </c>
      <c r="E52" s="226">
        <v>195</v>
      </c>
      <c r="F52" s="226"/>
      <c r="G52" s="226">
        <v>2</v>
      </c>
      <c r="H52" s="226"/>
      <c r="I52" s="226"/>
      <c r="J52" s="226">
        <v>18</v>
      </c>
      <c r="K52" s="226">
        <v>4</v>
      </c>
      <c r="L52" s="226"/>
      <c r="M52" s="226"/>
      <c r="N52" s="226"/>
      <c r="O52" s="226"/>
      <c r="P52" s="226"/>
      <c r="Q52" s="226"/>
      <c r="R52" s="226">
        <v>0.1</v>
      </c>
      <c r="S52" s="226"/>
      <c r="T52" s="226">
        <v>3.5</v>
      </c>
      <c r="U52" s="226">
        <v>1</v>
      </c>
      <c r="V52" s="226"/>
      <c r="W52" s="227">
        <v>0.5</v>
      </c>
    </row>
    <row r="53" spans="2:23" ht="16.5" hidden="1">
      <c r="B53" s="191"/>
      <c r="C53" s="185">
        <v>8</v>
      </c>
      <c r="D53" s="226">
        <f t="shared" si="1"/>
        <v>230.35</v>
      </c>
      <c r="E53" s="226">
        <v>206</v>
      </c>
      <c r="F53" s="226"/>
      <c r="G53" s="226">
        <v>1.7</v>
      </c>
      <c r="H53" s="226"/>
      <c r="I53" s="226"/>
      <c r="J53" s="226">
        <v>17.6</v>
      </c>
      <c r="K53" s="226">
        <v>1.9</v>
      </c>
      <c r="L53" s="226"/>
      <c r="M53" s="226"/>
      <c r="N53" s="226"/>
      <c r="O53" s="226"/>
      <c r="P53" s="226"/>
      <c r="Q53" s="226"/>
      <c r="R53" s="226">
        <v>0.55</v>
      </c>
      <c r="S53" s="226"/>
      <c r="T53" s="226">
        <v>1</v>
      </c>
      <c r="U53" s="226">
        <v>1.6</v>
      </c>
      <c r="V53" s="226"/>
      <c r="W53" s="227">
        <v>0</v>
      </c>
    </row>
    <row r="54" spans="2:23" ht="16.5" hidden="1">
      <c r="B54" s="191"/>
      <c r="C54" s="185">
        <v>9</v>
      </c>
      <c r="D54" s="226">
        <f>SUM(E54:W54)</f>
        <v>253.54</v>
      </c>
      <c r="E54" s="226">
        <v>228</v>
      </c>
      <c r="F54" s="226"/>
      <c r="G54" s="226">
        <v>2.7</v>
      </c>
      <c r="H54" s="226"/>
      <c r="I54" s="226"/>
      <c r="J54" s="226">
        <v>15</v>
      </c>
      <c r="K54" s="226">
        <v>3.8</v>
      </c>
      <c r="L54" s="226"/>
      <c r="M54" s="226"/>
      <c r="N54" s="226"/>
      <c r="O54" s="226"/>
      <c r="P54" s="226"/>
      <c r="Q54" s="226"/>
      <c r="R54" s="226">
        <v>0.34</v>
      </c>
      <c r="S54" s="226"/>
      <c r="T54" s="226">
        <v>1.5</v>
      </c>
      <c r="U54" s="226">
        <v>1.7</v>
      </c>
      <c r="V54" s="226"/>
      <c r="W54" s="227">
        <v>0.5</v>
      </c>
    </row>
    <row r="55" spans="2:23" ht="16.5" hidden="1">
      <c r="B55" s="191"/>
      <c r="C55" s="185">
        <v>10</v>
      </c>
      <c r="D55" s="226">
        <f t="shared" si="1"/>
        <v>182.56</v>
      </c>
      <c r="E55" s="226">
        <v>160</v>
      </c>
      <c r="F55" s="226"/>
      <c r="G55" s="226">
        <v>4.8</v>
      </c>
      <c r="H55" s="226"/>
      <c r="I55" s="226"/>
      <c r="J55" s="226">
        <v>12.6</v>
      </c>
      <c r="K55" s="226">
        <v>3</v>
      </c>
      <c r="L55" s="226"/>
      <c r="M55" s="226"/>
      <c r="N55" s="226"/>
      <c r="O55" s="226"/>
      <c r="P55" s="226"/>
      <c r="Q55" s="226"/>
      <c r="R55" s="226">
        <v>0.46</v>
      </c>
      <c r="S55" s="226"/>
      <c r="T55" s="226">
        <v>1</v>
      </c>
      <c r="U55" s="226">
        <v>0.7</v>
      </c>
      <c r="V55" s="226"/>
      <c r="W55" s="227">
        <v>0</v>
      </c>
    </row>
    <row r="56" spans="2:23" ht="16.5" hidden="1">
      <c r="B56" s="191"/>
      <c r="C56" s="185">
        <v>11</v>
      </c>
      <c r="D56" s="226">
        <f t="shared" si="1"/>
        <v>177.2</v>
      </c>
      <c r="E56" s="226">
        <v>155</v>
      </c>
      <c r="F56" s="226"/>
      <c r="G56" s="226">
        <v>2.1</v>
      </c>
      <c r="H56" s="226"/>
      <c r="I56" s="226"/>
      <c r="J56" s="226">
        <v>10.5</v>
      </c>
      <c r="K56" s="226">
        <v>3.2</v>
      </c>
      <c r="L56" s="226"/>
      <c r="M56" s="226"/>
      <c r="N56" s="226"/>
      <c r="O56" s="226"/>
      <c r="P56" s="226"/>
      <c r="Q56" s="226"/>
      <c r="R56" s="226">
        <v>0.4</v>
      </c>
      <c r="S56" s="226"/>
      <c r="T56" s="226">
        <v>2</v>
      </c>
      <c r="U56" s="226">
        <v>1</v>
      </c>
      <c r="V56" s="226"/>
      <c r="W56" s="227">
        <v>3</v>
      </c>
    </row>
    <row r="57" spans="2:23" ht="17.25" hidden="1" thickBot="1">
      <c r="B57" s="191"/>
      <c r="C57" s="186">
        <v>12</v>
      </c>
      <c r="D57" s="228">
        <f t="shared" si="1"/>
        <v>235.95000000000002</v>
      </c>
      <c r="E57" s="228">
        <v>210</v>
      </c>
      <c r="F57" s="228"/>
      <c r="G57" s="228">
        <v>2.7</v>
      </c>
      <c r="H57" s="228"/>
      <c r="I57" s="228"/>
      <c r="J57" s="228">
        <v>15.5</v>
      </c>
      <c r="K57" s="228">
        <v>4.8</v>
      </c>
      <c r="L57" s="228"/>
      <c r="M57" s="228"/>
      <c r="N57" s="228"/>
      <c r="O57" s="228"/>
      <c r="P57" s="228"/>
      <c r="Q57" s="228"/>
      <c r="R57" s="228">
        <v>0.15</v>
      </c>
      <c r="S57" s="228"/>
      <c r="T57" s="228">
        <v>1.5</v>
      </c>
      <c r="U57" s="228">
        <v>1.3</v>
      </c>
      <c r="V57" s="228"/>
      <c r="W57" s="229">
        <v>0</v>
      </c>
    </row>
    <row r="58" spans="2:23" ht="17.25" hidden="1" thickTop="1">
      <c r="B58" s="191" t="s">
        <v>124</v>
      </c>
      <c r="C58" s="185">
        <v>1</v>
      </c>
      <c r="D58" s="233">
        <f t="shared" si="1"/>
        <v>152.89999999999998</v>
      </c>
      <c r="E58" s="234">
        <v>135</v>
      </c>
      <c r="F58" s="234"/>
      <c r="G58" s="234">
        <v>1.7</v>
      </c>
      <c r="H58" s="234"/>
      <c r="I58" s="234"/>
      <c r="J58" s="234">
        <v>10.5</v>
      </c>
      <c r="K58" s="234">
        <v>3</v>
      </c>
      <c r="L58" s="234"/>
      <c r="M58" s="234"/>
      <c r="N58" s="234"/>
      <c r="O58" s="234"/>
      <c r="P58" s="234"/>
      <c r="Q58" s="234"/>
      <c r="R58" s="234">
        <v>1.1</v>
      </c>
      <c r="S58" s="235"/>
      <c r="T58" s="234">
        <v>1</v>
      </c>
      <c r="U58" s="234">
        <v>0.6</v>
      </c>
      <c r="V58" s="234"/>
      <c r="W58" s="236">
        <v>0</v>
      </c>
    </row>
    <row r="59" spans="2:23" ht="16.5" hidden="1">
      <c r="B59" s="191"/>
      <c r="C59" s="185">
        <v>2</v>
      </c>
      <c r="D59" s="226">
        <f t="shared" si="1"/>
        <v>127.8</v>
      </c>
      <c r="E59" s="226">
        <v>117</v>
      </c>
      <c r="F59" s="226"/>
      <c r="G59" s="226">
        <v>1.4</v>
      </c>
      <c r="H59" s="226"/>
      <c r="I59" s="226"/>
      <c r="J59" s="226">
        <v>6.5</v>
      </c>
      <c r="K59" s="226">
        <v>1.6</v>
      </c>
      <c r="L59" s="226"/>
      <c r="M59" s="226"/>
      <c r="N59" s="226"/>
      <c r="O59" s="226"/>
      <c r="P59" s="226"/>
      <c r="Q59" s="226"/>
      <c r="R59" s="226">
        <v>0.1</v>
      </c>
      <c r="S59" s="226"/>
      <c r="T59" s="226">
        <v>0.8</v>
      </c>
      <c r="U59" s="226">
        <v>0.4</v>
      </c>
      <c r="V59" s="226"/>
      <c r="W59" s="227">
        <v>0</v>
      </c>
    </row>
    <row r="60" spans="2:23" ht="16.5" hidden="1">
      <c r="B60" s="191"/>
      <c r="C60" s="185">
        <v>3</v>
      </c>
      <c r="D60" s="226">
        <f t="shared" si="1"/>
        <v>218.1</v>
      </c>
      <c r="E60" s="226">
        <v>195</v>
      </c>
      <c r="F60" s="226"/>
      <c r="G60" s="226">
        <v>2.5</v>
      </c>
      <c r="H60" s="226"/>
      <c r="I60" s="226"/>
      <c r="J60" s="226">
        <v>12.7</v>
      </c>
      <c r="K60" s="226">
        <v>4.8</v>
      </c>
      <c r="L60" s="226"/>
      <c r="M60" s="226"/>
      <c r="N60" s="226"/>
      <c r="O60" s="226"/>
      <c r="P60" s="226"/>
      <c r="Q60" s="226"/>
      <c r="R60" s="226">
        <v>0.6</v>
      </c>
      <c r="S60" s="226"/>
      <c r="T60" s="226">
        <v>1.2</v>
      </c>
      <c r="U60" s="226">
        <v>1.3</v>
      </c>
      <c r="V60" s="226"/>
      <c r="W60" s="227">
        <v>0</v>
      </c>
    </row>
    <row r="61" spans="2:23" ht="16.5" hidden="1">
      <c r="B61" s="191"/>
      <c r="C61" s="185">
        <v>4</v>
      </c>
      <c r="D61" s="226">
        <f t="shared" si="1"/>
        <v>125.29999999999998</v>
      </c>
      <c r="E61" s="226">
        <v>108</v>
      </c>
      <c r="F61" s="226"/>
      <c r="G61" s="226">
        <v>1.6</v>
      </c>
      <c r="H61" s="226"/>
      <c r="I61" s="226"/>
      <c r="J61" s="226">
        <v>10.5</v>
      </c>
      <c r="K61" s="226">
        <v>2.6</v>
      </c>
      <c r="L61" s="226"/>
      <c r="M61" s="226"/>
      <c r="N61" s="226"/>
      <c r="O61" s="226"/>
      <c r="P61" s="226"/>
      <c r="Q61" s="226"/>
      <c r="R61" s="226">
        <v>0.3</v>
      </c>
      <c r="S61" s="226"/>
      <c r="T61" s="226">
        <v>1.5</v>
      </c>
      <c r="U61" s="226">
        <v>0.8</v>
      </c>
      <c r="V61" s="226"/>
      <c r="W61" s="227">
        <v>0</v>
      </c>
    </row>
    <row r="62" spans="2:23" ht="16.5" hidden="1">
      <c r="B62" s="191"/>
      <c r="C62" s="185">
        <v>5</v>
      </c>
      <c r="D62" s="226">
        <f t="shared" si="1"/>
        <v>205.10000000000005</v>
      </c>
      <c r="E62" s="226">
        <v>185</v>
      </c>
      <c r="F62" s="226"/>
      <c r="G62" s="226">
        <v>1.8</v>
      </c>
      <c r="H62" s="226"/>
      <c r="I62" s="226"/>
      <c r="J62" s="226">
        <v>12.3</v>
      </c>
      <c r="K62" s="226">
        <v>3.4</v>
      </c>
      <c r="L62" s="226"/>
      <c r="M62" s="226"/>
      <c r="N62" s="226"/>
      <c r="O62" s="226"/>
      <c r="P62" s="226"/>
      <c r="Q62" s="226"/>
      <c r="R62" s="226">
        <v>0.3</v>
      </c>
      <c r="S62" s="226"/>
      <c r="T62" s="226">
        <v>1.3</v>
      </c>
      <c r="U62" s="226">
        <v>1</v>
      </c>
      <c r="V62" s="226"/>
      <c r="W62" s="227">
        <v>0</v>
      </c>
    </row>
    <row r="63" spans="2:23" ht="16.5" hidden="1">
      <c r="B63" s="191"/>
      <c r="C63" s="185">
        <v>6</v>
      </c>
      <c r="D63" s="226">
        <f t="shared" si="1"/>
        <v>260.20000000000005</v>
      </c>
      <c r="E63" s="226">
        <v>228</v>
      </c>
      <c r="F63" s="226"/>
      <c r="G63" s="226">
        <v>2</v>
      </c>
      <c r="H63" s="226"/>
      <c r="I63" s="226"/>
      <c r="J63" s="226">
        <v>18.5</v>
      </c>
      <c r="K63" s="226">
        <v>3.8</v>
      </c>
      <c r="L63" s="226"/>
      <c r="M63" s="226"/>
      <c r="N63" s="226"/>
      <c r="O63" s="226"/>
      <c r="P63" s="226"/>
      <c r="Q63" s="226"/>
      <c r="R63" s="226">
        <v>0.3</v>
      </c>
      <c r="S63" s="226"/>
      <c r="T63" s="226">
        <v>5</v>
      </c>
      <c r="U63" s="226">
        <v>1.1</v>
      </c>
      <c r="V63" s="226"/>
      <c r="W63" s="227">
        <v>1.5</v>
      </c>
    </row>
    <row r="64" spans="2:23" ht="16.5" hidden="1">
      <c r="B64" s="191"/>
      <c r="C64" s="185">
        <v>7</v>
      </c>
      <c r="D64" s="226">
        <f t="shared" si="1"/>
        <v>119.30000000000001</v>
      </c>
      <c r="E64" s="226">
        <v>98</v>
      </c>
      <c r="F64" s="226"/>
      <c r="G64" s="226">
        <v>1.9</v>
      </c>
      <c r="H64" s="226"/>
      <c r="I64" s="226"/>
      <c r="J64" s="226">
        <v>10.5</v>
      </c>
      <c r="K64" s="226">
        <v>3.4</v>
      </c>
      <c r="L64" s="226"/>
      <c r="M64" s="226"/>
      <c r="N64" s="226"/>
      <c r="O64" s="226"/>
      <c r="P64" s="226"/>
      <c r="Q64" s="226"/>
      <c r="R64" s="226">
        <v>0.4</v>
      </c>
      <c r="S64" s="226"/>
      <c r="T64" s="226">
        <v>4</v>
      </c>
      <c r="U64" s="226">
        <v>0.6</v>
      </c>
      <c r="V64" s="226"/>
      <c r="W64" s="227">
        <v>0.5</v>
      </c>
    </row>
    <row r="65" spans="2:23" ht="16.5" hidden="1">
      <c r="B65" s="191"/>
      <c r="C65" s="185">
        <v>8</v>
      </c>
      <c r="D65" s="226">
        <f t="shared" si="1"/>
        <v>139.4</v>
      </c>
      <c r="E65" s="226">
        <v>110</v>
      </c>
      <c r="F65" s="226"/>
      <c r="G65" s="226">
        <v>1.5</v>
      </c>
      <c r="H65" s="226"/>
      <c r="I65" s="226"/>
      <c r="J65" s="226">
        <v>17</v>
      </c>
      <c r="K65" s="226">
        <v>4.8</v>
      </c>
      <c r="L65" s="226"/>
      <c r="M65" s="226"/>
      <c r="N65" s="226"/>
      <c r="O65" s="226"/>
      <c r="P65" s="226"/>
      <c r="Q65" s="226"/>
      <c r="R65" s="226">
        <v>0.3</v>
      </c>
      <c r="S65" s="226"/>
      <c r="T65" s="226">
        <v>4.6</v>
      </c>
      <c r="U65" s="226">
        <v>1.2</v>
      </c>
      <c r="V65" s="226"/>
      <c r="W65" s="227">
        <v>0</v>
      </c>
    </row>
    <row r="66" spans="2:23" ht="16.5" hidden="1">
      <c r="B66" s="191"/>
      <c r="C66" s="185">
        <v>9</v>
      </c>
      <c r="D66" s="226">
        <f t="shared" si="1"/>
        <v>145.00000000000003</v>
      </c>
      <c r="E66" s="226">
        <v>125</v>
      </c>
      <c r="F66" s="226"/>
      <c r="G66" s="226">
        <v>1.8</v>
      </c>
      <c r="H66" s="226"/>
      <c r="I66" s="226"/>
      <c r="J66" s="226">
        <v>10</v>
      </c>
      <c r="K66" s="226">
        <v>3.2</v>
      </c>
      <c r="L66" s="226"/>
      <c r="M66" s="226"/>
      <c r="N66" s="226"/>
      <c r="O66" s="226"/>
      <c r="P66" s="226"/>
      <c r="Q66" s="226"/>
      <c r="R66" s="226">
        <v>0.3</v>
      </c>
      <c r="S66" s="226"/>
      <c r="T66" s="226">
        <v>3.8</v>
      </c>
      <c r="U66" s="226">
        <v>0.9</v>
      </c>
      <c r="V66" s="226"/>
      <c r="W66" s="227">
        <v>0</v>
      </c>
    </row>
    <row r="67" spans="2:23" ht="16.5" hidden="1">
      <c r="B67" s="191"/>
      <c r="C67" s="185">
        <v>10</v>
      </c>
      <c r="D67" s="226">
        <f t="shared" si="1"/>
        <v>149.89999999999998</v>
      </c>
      <c r="E67" s="226">
        <v>130</v>
      </c>
      <c r="F67" s="226"/>
      <c r="G67" s="226">
        <v>2.2</v>
      </c>
      <c r="H67" s="226"/>
      <c r="I67" s="226"/>
      <c r="J67" s="226">
        <v>10.5</v>
      </c>
      <c r="K67" s="226">
        <v>2.6</v>
      </c>
      <c r="L67" s="226"/>
      <c r="M67" s="226"/>
      <c r="N67" s="226"/>
      <c r="O67" s="226"/>
      <c r="P67" s="226"/>
      <c r="Q67" s="226"/>
      <c r="R67" s="226">
        <v>1.1</v>
      </c>
      <c r="S67" s="226"/>
      <c r="T67" s="226">
        <v>1.5</v>
      </c>
      <c r="U67" s="226">
        <v>1</v>
      </c>
      <c r="V67" s="226"/>
      <c r="W67" s="227">
        <v>1</v>
      </c>
    </row>
    <row r="68" spans="2:23" ht="16.5" hidden="1">
      <c r="B68" s="191"/>
      <c r="C68" s="185">
        <v>11</v>
      </c>
      <c r="D68" s="226">
        <f t="shared" si="1"/>
        <v>191.5</v>
      </c>
      <c r="E68" s="226">
        <v>165</v>
      </c>
      <c r="F68" s="226"/>
      <c r="G68" s="226">
        <v>2.4</v>
      </c>
      <c r="H68" s="226"/>
      <c r="I68" s="226"/>
      <c r="J68" s="226">
        <v>17</v>
      </c>
      <c r="K68" s="226">
        <v>2.6</v>
      </c>
      <c r="L68" s="226"/>
      <c r="M68" s="226"/>
      <c r="N68" s="226"/>
      <c r="O68" s="226"/>
      <c r="P68" s="226"/>
      <c r="Q68" s="226"/>
      <c r="R68" s="226">
        <v>0.4</v>
      </c>
      <c r="S68" s="226"/>
      <c r="T68" s="226">
        <v>2.1</v>
      </c>
      <c r="U68" s="226">
        <v>1.5</v>
      </c>
      <c r="V68" s="226"/>
      <c r="W68" s="227">
        <v>0.5</v>
      </c>
    </row>
    <row r="69" spans="2:23" ht="16.5" hidden="1">
      <c r="B69" s="237"/>
      <c r="C69" s="238">
        <v>12</v>
      </c>
      <c r="D69" s="233">
        <f t="shared" si="1"/>
        <v>168.29999999999998</v>
      </c>
      <c r="E69" s="233">
        <v>150</v>
      </c>
      <c r="F69" s="239"/>
      <c r="G69" s="239">
        <v>2.1</v>
      </c>
      <c r="H69" s="239"/>
      <c r="I69" s="239"/>
      <c r="J69" s="239">
        <v>11</v>
      </c>
      <c r="K69" s="239">
        <v>3.2</v>
      </c>
      <c r="L69" s="239"/>
      <c r="M69" s="239"/>
      <c r="N69" s="239"/>
      <c r="O69" s="239"/>
      <c r="P69" s="239"/>
      <c r="Q69" s="239"/>
      <c r="R69" s="239">
        <v>0.2</v>
      </c>
      <c r="S69" s="239"/>
      <c r="T69" s="239">
        <v>1.8</v>
      </c>
      <c r="U69" s="239">
        <v>0</v>
      </c>
      <c r="V69" s="239"/>
      <c r="W69" s="240">
        <v>0</v>
      </c>
    </row>
    <row r="70" spans="2:23" ht="16.5">
      <c r="B70" s="191" t="s">
        <v>140</v>
      </c>
      <c r="C70" s="191">
        <v>1</v>
      </c>
      <c r="D70" s="226">
        <f t="shared" si="1"/>
        <v>126.7</v>
      </c>
      <c r="E70" s="226">
        <v>110</v>
      </c>
      <c r="F70" s="226"/>
      <c r="G70" s="226">
        <v>1.8</v>
      </c>
      <c r="H70" s="226"/>
      <c r="I70" s="226"/>
      <c r="J70" s="226">
        <v>10</v>
      </c>
      <c r="K70" s="226">
        <v>2.2</v>
      </c>
      <c r="L70" s="226"/>
      <c r="M70" s="226"/>
      <c r="N70" s="226"/>
      <c r="O70" s="226"/>
      <c r="P70" s="226"/>
      <c r="Q70" s="226"/>
      <c r="R70" s="226">
        <v>0.2</v>
      </c>
      <c r="S70" s="226"/>
      <c r="T70" s="226">
        <v>1.6</v>
      </c>
      <c r="U70" s="226">
        <v>0.9</v>
      </c>
      <c r="V70" s="226"/>
      <c r="W70" s="226">
        <v>0</v>
      </c>
    </row>
    <row r="71" spans="2:23" ht="16.5">
      <c r="B71" s="191"/>
      <c r="C71" s="191">
        <v>2</v>
      </c>
      <c r="D71" s="226">
        <f t="shared" si="1"/>
        <v>61.980000000000004</v>
      </c>
      <c r="E71" s="226">
        <v>55</v>
      </c>
      <c r="F71" s="226"/>
      <c r="G71" s="226">
        <v>0.8</v>
      </c>
      <c r="H71" s="226"/>
      <c r="I71" s="226"/>
      <c r="J71" s="226">
        <v>3.5</v>
      </c>
      <c r="K71" s="226">
        <v>1.2</v>
      </c>
      <c r="L71" s="226"/>
      <c r="M71" s="226"/>
      <c r="N71" s="226"/>
      <c r="O71" s="226"/>
      <c r="P71" s="226"/>
      <c r="Q71" s="226"/>
      <c r="R71" s="226">
        <v>0.38</v>
      </c>
      <c r="S71" s="226"/>
      <c r="T71" s="226">
        <v>0.6</v>
      </c>
      <c r="U71" s="226">
        <v>0.5</v>
      </c>
      <c r="V71" s="226"/>
      <c r="W71" s="226">
        <v>0</v>
      </c>
    </row>
    <row r="72" spans="2:23" ht="16.5">
      <c r="B72" s="191"/>
      <c r="C72" s="191">
        <v>3</v>
      </c>
      <c r="D72" s="226">
        <f t="shared" si="1"/>
        <v>227.70000000000002</v>
      </c>
      <c r="E72" s="226">
        <v>190</v>
      </c>
      <c r="F72" s="226"/>
      <c r="G72" s="226">
        <v>2.4</v>
      </c>
      <c r="H72" s="226"/>
      <c r="I72" s="226"/>
      <c r="J72" s="226">
        <v>13.5</v>
      </c>
      <c r="K72" s="226">
        <v>4.6</v>
      </c>
      <c r="L72" s="226"/>
      <c r="M72" s="226"/>
      <c r="N72" s="226"/>
      <c r="O72" s="226"/>
      <c r="P72" s="226"/>
      <c r="Q72" s="226"/>
      <c r="R72" s="226">
        <v>0.9</v>
      </c>
      <c r="S72" s="226"/>
      <c r="T72" s="226">
        <v>15</v>
      </c>
      <c r="U72" s="226">
        <v>1.3</v>
      </c>
      <c r="V72" s="226"/>
      <c r="W72" s="226">
        <v>0</v>
      </c>
    </row>
    <row r="73" spans="2:23" ht="16.5">
      <c r="B73" s="191"/>
      <c r="C73" s="191">
        <v>4</v>
      </c>
      <c r="D73" s="226">
        <f t="shared" si="1"/>
        <v>119.6</v>
      </c>
      <c r="E73" s="226">
        <v>105</v>
      </c>
      <c r="F73" s="226"/>
      <c r="G73" s="226">
        <v>1.3</v>
      </c>
      <c r="H73" s="226"/>
      <c r="I73" s="226"/>
      <c r="J73" s="226">
        <v>8</v>
      </c>
      <c r="K73" s="226">
        <v>1.6</v>
      </c>
      <c r="L73" s="226"/>
      <c r="M73" s="226"/>
      <c r="N73" s="226"/>
      <c r="O73" s="226"/>
      <c r="P73" s="226"/>
      <c r="Q73" s="226"/>
      <c r="R73" s="226">
        <v>0.2</v>
      </c>
      <c r="S73" s="226"/>
      <c r="T73" s="226">
        <v>2.5</v>
      </c>
      <c r="U73" s="226">
        <v>1</v>
      </c>
      <c r="V73" s="226"/>
      <c r="W73" s="226">
        <v>0</v>
      </c>
    </row>
    <row r="74" spans="2:23" ht="16.5">
      <c r="B74" s="191"/>
      <c r="C74" s="191">
        <v>5</v>
      </c>
      <c r="D74" s="226">
        <f t="shared" si="1"/>
        <v>156.1</v>
      </c>
      <c r="E74" s="226">
        <v>130</v>
      </c>
      <c r="F74" s="226"/>
      <c r="G74" s="226">
        <v>2.6</v>
      </c>
      <c r="H74" s="226"/>
      <c r="I74" s="226"/>
      <c r="J74" s="226">
        <v>16</v>
      </c>
      <c r="K74" s="226">
        <v>5.2</v>
      </c>
      <c r="L74" s="226"/>
      <c r="M74" s="226"/>
      <c r="N74" s="226"/>
      <c r="O74" s="226"/>
      <c r="P74" s="226"/>
      <c r="Q74" s="226"/>
      <c r="R74" s="226">
        <v>0.4</v>
      </c>
      <c r="S74" s="226"/>
      <c r="T74" s="226">
        <v>1.9</v>
      </c>
      <c r="U74" s="226">
        <v>0</v>
      </c>
      <c r="V74" s="226"/>
      <c r="W74" s="226">
        <v>0</v>
      </c>
    </row>
    <row r="75" spans="2:23" ht="16.5">
      <c r="B75" s="191"/>
      <c r="C75" s="191">
        <v>6</v>
      </c>
      <c r="D75" s="226">
        <f t="shared" si="1"/>
        <v>158.2</v>
      </c>
      <c r="E75" s="226">
        <v>138</v>
      </c>
      <c r="F75" s="226"/>
      <c r="G75" s="226">
        <v>2.5</v>
      </c>
      <c r="H75" s="226"/>
      <c r="I75" s="226"/>
      <c r="J75" s="226">
        <v>11.5</v>
      </c>
      <c r="K75" s="226">
        <v>3.6</v>
      </c>
      <c r="L75" s="226"/>
      <c r="M75" s="226"/>
      <c r="N75" s="226"/>
      <c r="O75" s="226"/>
      <c r="P75" s="226"/>
      <c r="Q75" s="226"/>
      <c r="R75" s="226">
        <v>0.2</v>
      </c>
      <c r="S75" s="226"/>
      <c r="T75" s="226">
        <v>1</v>
      </c>
      <c r="U75" s="226">
        <v>1.4</v>
      </c>
      <c r="V75" s="226"/>
      <c r="W75" s="226">
        <v>0</v>
      </c>
    </row>
    <row r="76" spans="2:23" ht="16.5">
      <c r="B76" s="191"/>
      <c r="C76" s="191">
        <v>7</v>
      </c>
      <c r="D76" s="226">
        <f t="shared" si="1"/>
        <v>106.5</v>
      </c>
      <c r="E76" s="226">
        <v>90</v>
      </c>
      <c r="F76" s="226"/>
      <c r="G76" s="226">
        <v>2.2</v>
      </c>
      <c r="H76" s="226"/>
      <c r="I76" s="226"/>
      <c r="J76" s="226">
        <v>10</v>
      </c>
      <c r="K76" s="226">
        <v>2.8</v>
      </c>
      <c r="L76" s="226"/>
      <c r="M76" s="226"/>
      <c r="N76" s="226"/>
      <c r="O76" s="226"/>
      <c r="P76" s="226"/>
      <c r="Q76" s="226"/>
      <c r="R76" s="226">
        <v>0.7</v>
      </c>
      <c r="S76" s="226"/>
      <c r="T76" s="226">
        <v>0</v>
      </c>
      <c r="U76" s="226">
        <v>0.8</v>
      </c>
      <c r="V76" s="226"/>
      <c r="W76" s="226">
        <v>0</v>
      </c>
    </row>
    <row r="77" spans="2:23" ht="16.5">
      <c r="B77" s="191"/>
      <c r="C77" s="191">
        <v>8</v>
      </c>
      <c r="D77" s="226">
        <f t="shared" si="1"/>
        <v>101.80000000000001</v>
      </c>
      <c r="E77" s="226">
        <v>85</v>
      </c>
      <c r="F77" s="226"/>
      <c r="G77" s="226">
        <v>2.2</v>
      </c>
      <c r="H77" s="226"/>
      <c r="I77" s="226"/>
      <c r="J77" s="226">
        <v>8.5</v>
      </c>
      <c r="K77" s="226">
        <v>3.2</v>
      </c>
      <c r="L77" s="226"/>
      <c r="M77" s="226"/>
      <c r="N77" s="226"/>
      <c r="O77" s="226"/>
      <c r="P77" s="226"/>
      <c r="Q77" s="226"/>
      <c r="R77" s="226">
        <v>0.7</v>
      </c>
      <c r="S77" s="226"/>
      <c r="T77" s="226">
        <v>1</v>
      </c>
      <c r="U77" s="226">
        <v>1.2</v>
      </c>
      <c r="V77" s="226"/>
      <c r="W77" s="226">
        <v>0</v>
      </c>
    </row>
    <row r="78" spans="2:23" ht="16.5">
      <c r="B78" s="191"/>
      <c r="C78" s="191">
        <v>9</v>
      </c>
      <c r="D78" s="226">
        <f t="shared" si="1"/>
        <v>108.7</v>
      </c>
      <c r="E78" s="226">
        <v>90</v>
      </c>
      <c r="F78" s="226"/>
      <c r="G78" s="226">
        <v>2.2</v>
      </c>
      <c r="H78" s="226"/>
      <c r="I78" s="226"/>
      <c r="J78" s="226">
        <v>10.5</v>
      </c>
      <c r="K78" s="226">
        <v>3.6</v>
      </c>
      <c r="L78" s="226"/>
      <c r="M78" s="226"/>
      <c r="N78" s="226"/>
      <c r="O78" s="226"/>
      <c r="P78" s="226"/>
      <c r="Q78" s="226"/>
      <c r="R78" s="226">
        <v>0.5</v>
      </c>
      <c r="S78" s="226"/>
      <c r="T78" s="226">
        <v>0.9</v>
      </c>
      <c r="U78" s="226">
        <v>1</v>
      </c>
      <c r="V78" s="226"/>
      <c r="W78" s="226">
        <v>0</v>
      </c>
    </row>
    <row r="79" spans="2:23" ht="16.5">
      <c r="B79" s="191"/>
      <c r="C79" s="191">
        <v>10</v>
      </c>
      <c r="D79" s="226">
        <f t="shared" si="1"/>
        <v>121.19999999999999</v>
      </c>
      <c r="E79" s="226">
        <v>100</v>
      </c>
      <c r="F79" s="226"/>
      <c r="G79" s="226">
        <v>2.3</v>
      </c>
      <c r="H79" s="226"/>
      <c r="I79" s="226"/>
      <c r="J79" s="226">
        <v>11.8</v>
      </c>
      <c r="K79" s="226">
        <v>5</v>
      </c>
      <c r="L79" s="226"/>
      <c r="M79" s="226"/>
      <c r="N79" s="226"/>
      <c r="O79" s="226"/>
      <c r="P79" s="226"/>
      <c r="Q79" s="226"/>
      <c r="R79" s="226">
        <v>0.1</v>
      </c>
      <c r="S79" s="226"/>
      <c r="T79" s="226">
        <v>0.5</v>
      </c>
      <c r="U79" s="226">
        <v>1.5</v>
      </c>
      <c r="V79" s="226"/>
      <c r="W79" s="226">
        <v>0</v>
      </c>
    </row>
    <row r="80" spans="2:23" ht="16.5">
      <c r="B80" s="191"/>
      <c r="C80" s="191">
        <v>11</v>
      </c>
      <c r="D80" s="226">
        <f t="shared" si="1"/>
        <v>170.7</v>
      </c>
      <c r="E80" s="226">
        <v>143</v>
      </c>
      <c r="F80" s="226"/>
      <c r="G80" s="226">
        <v>3.2</v>
      </c>
      <c r="H80" s="226"/>
      <c r="I80" s="226"/>
      <c r="J80" s="226">
        <v>13.4</v>
      </c>
      <c r="K80" s="226">
        <v>3.7</v>
      </c>
      <c r="L80" s="226"/>
      <c r="M80" s="226"/>
      <c r="N80" s="226"/>
      <c r="O80" s="226"/>
      <c r="P80" s="226"/>
      <c r="Q80" s="226"/>
      <c r="R80" s="226">
        <v>1.3</v>
      </c>
      <c r="S80" s="226"/>
      <c r="T80" s="226">
        <v>0.7</v>
      </c>
      <c r="U80" s="226">
        <v>2.4</v>
      </c>
      <c r="V80" s="226"/>
      <c r="W80" s="226">
        <v>3</v>
      </c>
    </row>
    <row r="81" spans="2:23" ht="16.5">
      <c r="B81" s="191"/>
      <c r="C81" s="191">
        <v>12</v>
      </c>
      <c r="D81" s="226">
        <f t="shared" si="1"/>
        <v>138.10000000000002</v>
      </c>
      <c r="E81" s="226">
        <v>113</v>
      </c>
      <c r="F81" s="226"/>
      <c r="G81" s="226">
        <v>2.9</v>
      </c>
      <c r="H81" s="226"/>
      <c r="I81" s="226"/>
      <c r="J81" s="226">
        <v>10.1</v>
      </c>
      <c r="K81" s="226">
        <v>6.8</v>
      </c>
      <c r="L81" s="226"/>
      <c r="M81" s="226"/>
      <c r="N81" s="226"/>
      <c r="O81" s="226"/>
      <c r="P81" s="226"/>
      <c r="Q81" s="226"/>
      <c r="R81" s="226">
        <v>0.6</v>
      </c>
      <c r="S81" s="226"/>
      <c r="T81" s="226">
        <v>2.3</v>
      </c>
      <c r="U81" s="226">
        <v>1.4</v>
      </c>
      <c r="V81" s="226"/>
      <c r="W81" s="226">
        <v>1</v>
      </c>
    </row>
    <row r="82" spans="2:23" ht="16.5">
      <c r="B82" s="191" t="s">
        <v>141</v>
      </c>
      <c r="C82" s="191">
        <v>1</v>
      </c>
      <c r="D82" s="226">
        <f t="shared" si="1"/>
        <v>152.9</v>
      </c>
      <c r="E82" s="226">
        <v>128</v>
      </c>
      <c r="F82" s="226"/>
      <c r="G82" s="226">
        <v>3.8</v>
      </c>
      <c r="H82" s="226"/>
      <c r="I82" s="226"/>
      <c r="J82" s="226">
        <v>12.7</v>
      </c>
      <c r="K82" s="226">
        <v>4.1</v>
      </c>
      <c r="L82" s="226"/>
      <c r="M82" s="226"/>
      <c r="N82" s="226"/>
      <c r="O82" s="226"/>
      <c r="P82" s="226"/>
      <c r="Q82" s="226"/>
      <c r="R82" s="226">
        <v>0.4</v>
      </c>
      <c r="S82" s="226"/>
      <c r="T82" s="226">
        <v>0.9</v>
      </c>
      <c r="U82" s="226">
        <v>3</v>
      </c>
      <c r="V82" s="226"/>
      <c r="W82" s="226">
        <v>0</v>
      </c>
    </row>
    <row r="83" spans="2:23" ht="16.5">
      <c r="B83" s="191"/>
      <c r="C83" s="191">
        <v>2</v>
      </c>
      <c r="D83" s="226">
        <f t="shared" si="1"/>
        <v>127.19999999999999</v>
      </c>
      <c r="E83" s="226">
        <v>107</v>
      </c>
      <c r="F83" s="226"/>
      <c r="G83" s="226">
        <v>3.1</v>
      </c>
      <c r="H83" s="226"/>
      <c r="I83" s="226"/>
      <c r="J83" s="226">
        <v>11.4</v>
      </c>
      <c r="K83" s="226">
        <v>3.1</v>
      </c>
      <c r="L83" s="226"/>
      <c r="M83" s="226"/>
      <c r="N83" s="226"/>
      <c r="O83" s="226"/>
      <c r="P83" s="226"/>
      <c r="Q83" s="226"/>
      <c r="R83" s="226">
        <v>0</v>
      </c>
      <c r="S83" s="226"/>
      <c r="T83" s="226">
        <v>0.3</v>
      </c>
      <c r="U83" s="226">
        <v>2.3</v>
      </c>
      <c r="V83" s="226"/>
      <c r="W83" s="226">
        <v>0</v>
      </c>
    </row>
    <row r="84" spans="2:23" ht="16.5">
      <c r="B84" s="191"/>
      <c r="C84" s="191">
        <v>3</v>
      </c>
      <c r="D84" s="226">
        <f t="shared" si="1"/>
        <v>122.60000000000002</v>
      </c>
      <c r="E84" s="226">
        <v>103</v>
      </c>
      <c r="F84" s="226"/>
      <c r="G84" s="226">
        <v>3.9</v>
      </c>
      <c r="H84" s="226"/>
      <c r="I84" s="226"/>
      <c r="J84" s="226">
        <v>8.8</v>
      </c>
      <c r="K84" s="226">
        <v>3.4</v>
      </c>
      <c r="L84" s="226"/>
      <c r="M84" s="226"/>
      <c r="N84" s="226"/>
      <c r="O84" s="226"/>
      <c r="P84" s="226"/>
      <c r="Q84" s="226"/>
      <c r="R84" s="226">
        <v>0.4</v>
      </c>
      <c r="S84" s="226"/>
      <c r="T84" s="226">
        <v>0.4</v>
      </c>
      <c r="U84" s="226">
        <v>2.7</v>
      </c>
      <c r="V84" s="226"/>
      <c r="W84" s="226">
        <v>0</v>
      </c>
    </row>
    <row r="85" spans="2:23" ht="16.5">
      <c r="B85" s="191"/>
      <c r="C85" s="191">
        <v>4</v>
      </c>
      <c r="D85" s="226">
        <f aca="true" t="shared" si="2" ref="D85:D118">SUM(E85:W85)</f>
        <v>112.4</v>
      </c>
      <c r="E85" s="226">
        <v>96</v>
      </c>
      <c r="F85" s="226"/>
      <c r="G85" s="226">
        <v>3.8</v>
      </c>
      <c r="H85" s="226"/>
      <c r="I85" s="226"/>
      <c r="J85" s="226">
        <v>8.9</v>
      </c>
      <c r="K85" s="226">
        <v>0</v>
      </c>
      <c r="L85" s="226"/>
      <c r="M85" s="226"/>
      <c r="N85" s="226"/>
      <c r="O85" s="226"/>
      <c r="P85" s="226"/>
      <c r="Q85" s="226"/>
      <c r="R85" s="226">
        <v>0.3</v>
      </c>
      <c r="S85" s="226"/>
      <c r="T85" s="226">
        <v>0.2</v>
      </c>
      <c r="U85" s="226">
        <v>3.2</v>
      </c>
      <c r="V85" s="226"/>
      <c r="W85" s="226">
        <v>0</v>
      </c>
    </row>
    <row r="86" spans="2:23" ht="16.5">
      <c r="B86" s="191"/>
      <c r="C86" s="191">
        <v>5</v>
      </c>
      <c r="D86" s="226">
        <f t="shared" si="2"/>
        <v>159.10000000000002</v>
      </c>
      <c r="E86" s="226">
        <v>127</v>
      </c>
      <c r="F86" s="226"/>
      <c r="G86" s="226">
        <v>6.8</v>
      </c>
      <c r="H86" s="226"/>
      <c r="I86" s="226"/>
      <c r="J86" s="226">
        <v>10.7</v>
      </c>
      <c r="K86" s="226">
        <v>5.8</v>
      </c>
      <c r="L86" s="226"/>
      <c r="M86" s="226"/>
      <c r="N86" s="226"/>
      <c r="O86" s="226"/>
      <c r="P86" s="226"/>
      <c r="Q86" s="226"/>
      <c r="R86" s="226">
        <v>0.5</v>
      </c>
      <c r="S86" s="226"/>
      <c r="T86" s="226">
        <v>1.4</v>
      </c>
      <c r="U86" s="226">
        <v>3.9</v>
      </c>
      <c r="V86" s="226"/>
      <c r="W86" s="226">
        <v>3</v>
      </c>
    </row>
    <row r="87" spans="2:23" ht="16.5">
      <c r="B87" s="191"/>
      <c r="C87" s="191">
        <v>6</v>
      </c>
      <c r="D87" s="226">
        <f t="shared" si="2"/>
        <v>168.5</v>
      </c>
      <c r="E87" s="226">
        <v>146</v>
      </c>
      <c r="F87" s="226"/>
      <c r="G87" s="226">
        <v>2.7</v>
      </c>
      <c r="H87" s="226"/>
      <c r="I87" s="226"/>
      <c r="J87" s="226">
        <v>12.2</v>
      </c>
      <c r="K87" s="226">
        <v>4.5</v>
      </c>
      <c r="L87" s="226"/>
      <c r="M87" s="226"/>
      <c r="N87" s="226"/>
      <c r="O87" s="226"/>
      <c r="P87" s="226"/>
      <c r="Q87" s="226"/>
      <c r="R87" s="226">
        <v>0.4</v>
      </c>
      <c r="S87" s="226"/>
      <c r="T87" s="226">
        <v>1.9</v>
      </c>
      <c r="U87" s="226">
        <v>0.8</v>
      </c>
      <c r="V87" s="226"/>
      <c r="W87" s="226"/>
    </row>
    <row r="88" spans="2:23" ht="16.5">
      <c r="B88" s="191"/>
      <c r="C88" s="191">
        <v>7</v>
      </c>
      <c r="D88" s="226">
        <f t="shared" si="2"/>
        <v>153.4</v>
      </c>
      <c r="E88" s="226">
        <v>122</v>
      </c>
      <c r="F88" s="226"/>
      <c r="G88" s="226">
        <v>2</v>
      </c>
      <c r="H88" s="226"/>
      <c r="I88" s="226"/>
      <c r="J88" s="226">
        <v>14.7</v>
      </c>
      <c r="K88" s="226">
        <v>5.3</v>
      </c>
      <c r="L88" s="226"/>
      <c r="M88" s="226"/>
      <c r="N88" s="226"/>
      <c r="O88" s="226"/>
      <c r="P88" s="226"/>
      <c r="Q88" s="226"/>
      <c r="R88" s="226">
        <v>0.6</v>
      </c>
      <c r="S88" s="226"/>
      <c r="T88" s="226">
        <v>7.5</v>
      </c>
      <c r="U88" s="226">
        <v>1.3</v>
      </c>
      <c r="V88" s="226"/>
      <c r="W88" s="226"/>
    </row>
    <row r="89" spans="2:23" ht="16.5">
      <c r="B89" s="191"/>
      <c r="C89" s="191">
        <v>8</v>
      </c>
      <c r="D89" s="226">
        <f t="shared" si="2"/>
        <v>112.7</v>
      </c>
      <c r="E89" s="226">
        <v>85</v>
      </c>
      <c r="F89" s="226"/>
      <c r="G89" s="226">
        <v>1.5</v>
      </c>
      <c r="H89" s="226"/>
      <c r="I89" s="226"/>
      <c r="J89" s="226">
        <v>18.2</v>
      </c>
      <c r="K89" s="226">
        <v>3.3</v>
      </c>
      <c r="L89" s="226"/>
      <c r="M89" s="226"/>
      <c r="N89" s="226"/>
      <c r="O89" s="226"/>
      <c r="P89" s="226"/>
      <c r="Q89" s="226"/>
      <c r="R89" s="226">
        <v>0.7</v>
      </c>
      <c r="S89" s="226"/>
      <c r="T89" s="226">
        <v>1.4</v>
      </c>
      <c r="U89" s="226">
        <v>2.6</v>
      </c>
      <c r="V89" s="226"/>
      <c r="W89" s="226"/>
    </row>
    <row r="90" spans="2:23" ht="16.5">
      <c r="B90" s="191"/>
      <c r="C90" s="191">
        <v>9</v>
      </c>
      <c r="D90" s="226">
        <f t="shared" si="2"/>
        <v>130.2</v>
      </c>
      <c r="E90" s="226">
        <v>110</v>
      </c>
      <c r="F90" s="226"/>
      <c r="G90" s="226">
        <v>2.3</v>
      </c>
      <c r="H90" s="226"/>
      <c r="I90" s="226"/>
      <c r="J90" s="226">
        <v>13.5</v>
      </c>
      <c r="K90" s="226">
        <v>2.4</v>
      </c>
      <c r="L90" s="226"/>
      <c r="M90" s="226"/>
      <c r="N90" s="226"/>
      <c r="O90" s="226"/>
      <c r="P90" s="226"/>
      <c r="Q90" s="226"/>
      <c r="R90" s="226">
        <v>0.2</v>
      </c>
      <c r="S90" s="226"/>
      <c r="T90" s="226">
        <v>0.8</v>
      </c>
      <c r="U90" s="226">
        <v>1</v>
      </c>
      <c r="V90" s="226"/>
      <c r="W90" s="226"/>
    </row>
    <row r="91" spans="2:23" ht="16.5">
      <c r="B91" s="191"/>
      <c r="C91" s="191">
        <v>10</v>
      </c>
      <c r="D91" s="226">
        <f t="shared" si="2"/>
        <v>108.7</v>
      </c>
      <c r="E91" s="274">
        <v>90</v>
      </c>
      <c r="F91" s="226"/>
      <c r="G91" s="226">
        <v>1.8</v>
      </c>
      <c r="H91" s="226"/>
      <c r="I91" s="226"/>
      <c r="J91" s="276">
        <v>12.2</v>
      </c>
      <c r="K91" s="226">
        <v>1.4</v>
      </c>
      <c r="L91" s="226"/>
      <c r="M91" s="226"/>
      <c r="N91" s="226"/>
      <c r="O91" s="226"/>
      <c r="P91" s="226"/>
      <c r="Q91" s="226"/>
      <c r="R91" s="226">
        <v>0.3</v>
      </c>
      <c r="S91" s="226"/>
      <c r="T91" s="226">
        <v>1.3</v>
      </c>
      <c r="U91" s="226">
        <v>0.7</v>
      </c>
      <c r="V91" s="226"/>
      <c r="W91" s="275">
        <v>1</v>
      </c>
    </row>
    <row r="92" spans="2:23" ht="16.5">
      <c r="B92" s="191"/>
      <c r="C92" s="191">
        <v>11</v>
      </c>
      <c r="D92" s="226">
        <f t="shared" si="2"/>
        <v>151.50000000000003</v>
      </c>
      <c r="E92" s="226">
        <v>130</v>
      </c>
      <c r="F92" s="226"/>
      <c r="G92" s="226">
        <v>2.3</v>
      </c>
      <c r="H92" s="226"/>
      <c r="I92" s="226"/>
      <c r="J92" s="226">
        <v>14.5</v>
      </c>
      <c r="K92" s="226">
        <v>1.8</v>
      </c>
      <c r="L92" s="226"/>
      <c r="M92" s="226"/>
      <c r="N92" s="226"/>
      <c r="O92" s="226"/>
      <c r="P92" s="226"/>
      <c r="Q92" s="226"/>
      <c r="R92" s="226">
        <v>1.2</v>
      </c>
      <c r="S92" s="226"/>
      <c r="T92" s="226">
        <v>0.4</v>
      </c>
      <c r="U92" s="226">
        <v>1.3</v>
      </c>
      <c r="V92" s="226"/>
      <c r="W92" s="226"/>
    </row>
    <row r="93" spans="2:23" ht="16.5">
      <c r="B93" s="191"/>
      <c r="C93" s="191">
        <v>12</v>
      </c>
      <c r="D93" s="226">
        <f t="shared" si="2"/>
        <v>168.89999999999998</v>
      </c>
      <c r="E93" s="226">
        <v>143</v>
      </c>
      <c r="F93" s="226"/>
      <c r="G93" s="226">
        <v>2.1</v>
      </c>
      <c r="H93" s="226"/>
      <c r="I93" s="226"/>
      <c r="J93" s="226">
        <v>19.5</v>
      </c>
      <c r="K93" s="226">
        <v>1.7</v>
      </c>
      <c r="L93" s="226"/>
      <c r="M93" s="226"/>
      <c r="N93" s="226"/>
      <c r="O93" s="226"/>
      <c r="P93" s="226"/>
      <c r="Q93" s="226"/>
      <c r="R93" s="226">
        <v>0.7</v>
      </c>
      <c r="S93" s="226"/>
      <c r="T93" s="226">
        <v>0.5</v>
      </c>
      <c r="U93" s="226">
        <v>1.4</v>
      </c>
      <c r="V93" s="226"/>
      <c r="W93" s="226"/>
    </row>
    <row r="94" spans="2:23" ht="16.5">
      <c r="B94" s="191" t="s">
        <v>144</v>
      </c>
      <c r="C94" s="191">
        <v>1</v>
      </c>
      <c r="D94" s="226">
        <f t="shared" si="2"/>
        <v>164</v>
      </c>
      <c r="E94" s="226">
        <v>140</v>
      </c>
      <c r="F94" s="226"/>
      <c r="G94" s="226">
        <v>3.5</v>
      </c>
      <c r="H94" s="226"/>
      <c r="I94" s="226"/>
      <c r="J94" s="226">
        <v>11.5</v>
      </c>
      <c r="K94" s="226">
        <v>5</v>
      </c>
      <c r="L94" s="226"/>
      <c r="M94" s="226"/>
      <c r="N94" s="226"/>
      <c r="O94" s="226"/>
      <c r="P94" s="226"/>
      <c r="Q94" s="226"/>
      <c r="R94" s="226">
        <v>0.7</v>
      </c>
      <c r="S94" s="226"/>
      <c r="T94" s="226">
        <v>2.3</v>
      </c>
      <c r="U94" s="226">
        <v>1</v>
      </c>
      <c r="V94" s="226"/>
      <c r="W94" s="226"/>
    </row>
    <row r="95" spans="2:23" ht="16.5">
      <c r="B95" s="191"/>
      <c r="C95" s="191">
        <v>2</v>
      </c>
      <c r="D95" s="226">
        <f t="shared" si="2"/>
        <v>101.49999999999999</v>
      </c>
      <c r="E95" s="226">
        <v>90</v>
      </c>
      <c r="F95" s="226"/>
      <c r="G95" s="226">
        <v>1.1</v>
      </c>
      <c r="H95" s="226"/>
      <c r="I95" s="226"/>
      <c r="J95" s="226">
        <v>4.5</v>
      </c>
      <c r="K95" s="226">
        <v>1.8</v>
      </c>
      <c r="L95" s="226"/>
      <c r="M95" s="226"/>
      <c r="N95" s="226"/>
      <c r="O95" s="226"/>
      <c r="P95" s="226"/>
      <c r="Q95" s="226"/>
      <c r="R95" s="226">
        <v>0.5</v>
      </c>
      <c r="S95" s="226"/>
      <c r="T95" s="226">
        <v>2</v>
      </c>
      <c r="U95" s="226">
        <v>1.6</v>
      </c>
      <c r="V95" s="226"/>
      <c r="W95" s="226"/>
    </row>
    <row r="96" spans="2:23" ht="16.5">
      <c r="B96" s="191"/>
      <c r="C96" s="191">
        <v>3</v>
      </c>
      <c r="D96" s="226">
        <f t="shared" si="2"/>
        <v>172.89999999999998</v>
      </c>
      <c r="E96" s="226">
        <v>155</v>
      </c>
      <c r="F96" s="226"/>
      <c r="G96" s="226">
        <v>2.1</v>
      </c>
      <c r="H96" s="226"/>
      <c r="I96" s="226"/>
      <c r="J96" s="226">
        <v>8.5</v>
      </c>
      <c r="K96" s="226">
        <v>1.7</v>
      </c>
      <c r="L96" s="226"/>
      <c r="M96" s="226"/>
      <c r="N96" s="226"/>
      <c r="O96" s="226"/>
      <c r="P96" s="226"/>
      <c r="Q96" s="226"/>
      <c r="R96" s="226">
        <v>1</v>
      </c>
      <c r="S96" s="226"/>
      <c r="T96" s="226">
        <v>1</v>
      </c>
      <c r="U96" s="226">
        <v>2.6</v>
      </c>
      <c r="V96" s="226"/>
      <c r="W96" s="226">
        <v>1</v>
      </c>
    </row>
    <row r="97" spans="2:23" ht="16.5">
      <c r="B97" s="191"/>
      <c r="C97" s="191">
        <v>4</v>
      </c>
      <c r="D97" s="226">
        <f t="shared" si="2"/>
        <v>128.8</v>
      </c>
      <c r="E97" s="226">
        <v>114</v>
      </c>
      <c r="F97" s="226"/>
      <c r="G97" s="226">
        <v>3.4</v>
      </c>
      <c r="H97" s="226"/>
      <c r="I97" s="226"/>
      <c r="J97" s="226">
        <v>6.6</v>
      </c>
      <c r="K97" s="226"/>
      <c r="L97" s="226"/>
      <c r="M97" s="226"/>
      <c r="N97" s="226"/>
      <c r="O97" s="226"/>
      <c r="P97" s="226"/>
      <c r="Q97" s="226"/>
      <c r="R97" s="226">
        <v>0.3</v>
      </c>
      <c r="S97" s="226"/>
      <c r="T97" s="226">
        <v>1.5</v>
      </c>
      <c r="U97" s="226">
        <v>3</v>
      </c>
      <c r="V97" s="226"/>
      <c r="W97" s="226"/>
    </row>
    <row r="98" spans="2:23" ht="16.5">
      <c r="B98" s="191"/>
      <c r="C98" s="191">
        <v>5</v>
      </c>
      <c r="D98" s="226">
        <f t="shared" si="2"/>
        <v>121.1</v>
      </c>
      <c r="E98" s="226">
        <v>93</v>
      </c>
      <c r="F98" s="226"/>
      <c r="G98" s="226">
        <v>5.3</v>
      </c>
      <c r="H98" s="226"/>
      <c r="I98" s="226"/>
      <c r="J98" s="226">
        <v>12.6</v>
      </c>
      <c r="K98" s="226"/>
      <c r="L98" s="226"/>
      <c r="M98" s="226"/>
      <c r="N98" s="226"/>
      <c r="O98" s="226"/>
      <c r="P98" s="226"/>
      <c r="Q98" s="226"/>
      <c r="R98" s="226">
        <v>0.5</v>
      </c>
      <c r="S98" s="226"/>
      <c r="T98" s="226">
        <v>2.5</v>
      </c>
      <c r="U98" s="226">
        <v>4.2</v>
      </c>
      <c r="V98" s="226"/>
      <c r="W98" s="226">
        <v>3</v>
      </c>
    </row>
    <row r="99" spans="2:23" ht="16.5">
      <c r="B99" s="191"/>
      <c r="C99" s="191">
        <v>6</v>
      </c>
      <c r="D99" s="226">
        <f t="shared" si="2"/>
        <v>164.60000000000002</v>
      </c>
      <c r="E99" s="226">
        <v>140</v>
      </c>
      <c r="F99" s="226"/>
      <c r="G99" s="226">
        <v>2.3</v>
      </c>
      <c r="H99" s="226"/>
      <c r="I99" s="226"/>
      <c r="J99" s="226">
        <v>17</v>
      </c>
      <c r="K99" s="226">
        <v>1.8</v>
      </c>
      <c r="L99" s="226"/>
      <c r="M99" s="226"/>
      <c r="N99" s="226"/>
      <c r="O99" s="226"/>
      <c r="P99" s="226"/>
      <c r="Q99" s="226"/>
      <c r="R99" s="226">
        <v>1.1</v>
      </c>
      <c r="S99" s="226"/>
      <c r="T99" s="226">
        <v>1</v>
      </c>
      <c r="U99" s="226">
        <v>1.4</v>
      </c>
      <c r="V99" s="226"/>
      <c r="W99" s="226"/>
    </row>
    <row r="100" spans="2:23" ht="16.5">
      <c r="B100" s="191"/>
      <c r="C100" s="191">
        <v>7</v>
      </c>
      <c r="D100" s="226">
        <f t="shared" si="2"/>
        <v>120.89999999999999</v>
      </c>
      <c r="E100" s="226">
        <v>97</v>
      </c>
      <c r="F100" s="226"/>
      <c r="G100" s="226">
        <v>3.6</v>
      </c>
      <c r="H100" s="226"/>
      <c r="I100" s="226"/>
      <c r="J100" s="226">
        <v>6</v>
      </c>
      <c r="K100" s="226">
        <v>6.3</v>
      </c>
      <c r="L100" s="226"/>
      <c r="M100" s="226"/>
      <c r="N100" s="226"/>
      <c r="O100" s="226"/>
      <c r="P100" s="226"/>
      <c r="Q100" s="226"/>
      <c r="R100" s="226">
        <v>0.7</v>
      </c>
      <c r="S100" s="226"/>
      <c r="T100" s="226">
        <v>0.5</v>
      </c>
      <c r="U100" s="226">
        <v>6.8</v>
      </c>
      <c r="V100" s="226"/>
      <c r="W100" s="226"/>
    </row>
    <row r="101" spans="2:23" ht="16.5">
      <c r="B101" s="191"/>
      <c r="C101" s="191">
        <v>8</v>
      </c>
      <c r="D101" s="226">
        <f t="shared" si="2"/>
        <v>104.8</v>
      </c>
      <c r="E101" s="226">
        <v>85</v>
      </c>
      <c r="F101" s="226"/>
      <c r="G101" s="226">
        <v>3.2</v>
      </c>
      <c r="H101" s="226"/>
      <c r="I101" s="226"/>
      <c r="J101" s="226">
        <v>9.8</v>
      </c>
      <c r="K101" s="226"/>
      <c r="L101" s="226"/>
      <c r="M101" s="226"/>
      <c r="N101" s="226"/>
      <c r="O101" s="226"/>
      <c r="P101" s="226"/>
      <c r="Q101" s="226"/>
      <c r="R101" s="226">
        <v>0.5</v>
      </c>
      <c r="S101" s="226"/>
      <c r="T101" s="226">
        <v>0.5</v>
      </c>
      <c r="U101" s="226">
        <v>5.8</v>
      </c>
      <c r="V101" s="226"/>
      <c r="W101" s="226"/>
    </row>
    <row r="102" spans="2:23" ht="16.5">
      <c r="B102" s="191"/>
      <c r="C102" s="191">
        <v>9</v>
      </c>
      <c r="D102" s="226">
        <f t="shared" si="2"/>
        <v>71.2</v>
      </c>
      <c r="E102" s="226">
        <v>64</v>
      </c>
      <c r="F102" s="226"/>
      <c r="G102" s="226">
        <v>2.4</v>
      </c>
      <c r="H102" s="226"/>
      <c r="I102" s="226"/>
      <c r="J102" s="226">
        <v>3.3</v>
      </c>
      <c r="K102" s="226"/>
      <c r="L102" s="226"/>
      <c r="M102" s="226"/>
      <c r="N102" s="226"/>
      <c r="O102" s="226"/>
      <c r="P102" s="226"/>
      <c r="Q102" s="226"/>
      <c r="R102" s="226">
        <v>0.9</v>
      </c>
      <c r="S102" s="226"/>
      <c r="T102" s="226">
        <v>0.6</v>
      </c>
      <c r="U102" s="226"/>
      <c r="V102" s="226"/>
      <c r="W102" s="226"/>
    </row>
    <row r="103" spans="2:23" ht="16.5">
      <c r="B103" s="191"/>
      <c r="C103" s="191">
        <v>10</v>
      </c>
      <c r="D103" s="226">
        <f t="shared" si="2"/>
        <v>154.1</v>
      </c>
      <c r="E103" s="226">
        <v>128</v>
      </c>
      <c r="F103" s="226"/>
      <c r="G103" s="226">
        <v>9.6</v>
      </c>
      <c r="H103" s="226"/>
      <c r="I103" s="226"/>
      <c r="J103" s="226">
        <v>11.5</v>
      </c>
      <c r="K103" s="226"/>
      <c r="L103" s="226"/>
      <c r="M103" s="226"/>
      <c r="N103" s="226"/>
      <c r="O103" s="226"/>
      <c r="P103" s="226"/>
      <c r="Q103" s="226"/>
      <c r="R103" s="226">
        <v>0.3</v>
      </c>
      <c r="S103" s="226"/>
      <c r="T103" s="226">
        <v>0.5</v>
      </c>
      <c r="U103" s="226">
        <v>4.2</v>
      </c>
      <c r="V103" s="226"/>
      <c r="W103" s="226"/>
    </row>
    <row r="104" spans="2:23" ht="16.5">
      <c r="B104" s="191"/>
      <c r="C104" s="191">
        <v>11</v>
      </c>
      <c r="D104" s="226">
        <f t="shared" si="2"/>
        <v>112.7</v>
      </c>
      <c r="E104" s="226">
        <v>89</v>
      </c>
      <c r="F104" s="226"/>
      <c r="G104" s="226">
        <v>4.3</v>
      </c>
      <c r="H104" s="226"/>
      <c r="I104" s="226"/>
      <c r="J104" s="226">
        <v>9.2</v>
      </c>
      <c r="K104" s="226">
        <v>5.9</v>
      </c>
      <c r="L104" s="226"/>
      <c r="M104" s="226"/>
      <c r="N104" s="226"/>
      <c r="O104" s="226"/>
      <c r="P104" s="226"/>
      <c r="Q104" s="226"/>
      <c r="R104" s="226">
        <v>0.1</v>
      </c>
      <c r="S104" s="226"/>
      <c r="T104" s="226">
        <v>1</v>
      </c>
      <c r="U104" s="226">
        <v>3.2</v>
      </c>
      <c r="V104" s="226"/>
      <c r="W104" s="226"/>
    </row>
    <row r="105" spans="2:23" ht="16.5">
      <c r="B105" s="191"/>
      <c r="C105" s="191">
        <v>12</v>
      </c>
      <c r="D105" s="226">
        <f t="shared" si="2"/>
        <v>131.9</v>
      </c>
      <c r="E105" s="226">
        <v>101</v>
      </c>
      <c r="F105" s="226"/>
      <c r="G105" s="226">
        <v>3.7</v>
      </c>
      <c r="H105" s="226"/>
      <c r="I105" s="226"/>
      <c r="J105" s="226">
        <v>11.3</v>
      </c>
      <c r="K105" s="226">
        <v>8</v>
      </c>
      <c r="L105" s="226"/>
      <c r="M105" s="226"/>
      <c r="N105" s="226"/>
      <c r="O105" s="226"/>
      <c r="P105" s="226"/>
      <c r="Q105" s="226"/>
      <c r="R105" s="226">
        <v>0.7</v>
      </c>
      <c r="S105" s="226"/>
      <c r="T105" s="226">
        <v>1.5</v>
      </c>
      <c r="U105" s="226">
        <v>4.7</v>
      </c>
      <c r="V105" s="226"/>
      <c r="W105" s="226">
        <v>1</v>
      </c>
    </row>
    <row r="106" spans="2:23" ht="16.5">
      <c r="B106" s="191" t="s">
        <v>145</v>
      </c>
      <c r="C106" s="191">
        <v>1</v>
      </c>
      <c r="D106" s="226">
        <f t="shared" si="2"/>
        <v>142.4</v>
      </c>
      <c r="E106" s="226">
        <v>120</v>
      </c>
      <c r="F106" s="226"/>
      <c r="G106" s="226">
        <v>2.4</v>
      </c>
      <c r="H106" s="226"/>
      <c r="I106" s="226"/>
      <c r="J106" s="226">
        <v>12.3</v>
      </c>
      <c r="K106" s="226">
        <v>3.5</v>
      </c>
      <c r="L106" s="226"/>
      <c r="M106" s="226"/>
      <c r="N106" s="226"/>
      <c r="O106" s="226"/>
      <c r="P106" s="226"/>
      <c r="Q106" s="226"/>
      <c r="R106" s="226">
        <v>0.7</v>
      </c>
      <c r="S106" s="226"/>
      <c r="T106" s="241">
        <v>0.5</v>
      </c>
      <c r="U106" s="226">
        <v>1</v>
      </c>
      <c r="V106" s="226"/>
      <c r="W106" s="226">
        <v>2</v>
      </c>
    </row>
    <row r="107" spans="2:23" ht="16.5">
      <c r="B107" s="191"/>
      <c r="C107" s="191">
        <v>2</v>
      </c>
      <c r="D107" s="226">
        <f t="shared" si="2"/>
        <v>97.9</v>
      </c>
      <c r="E107" s="226">
        <v>85</v>
      </c>
      <c r="F107" s="226"/>
      <c r="G107" s="226">
        <v>1.7</v>
      </c>
      <c r="H107" s="226"/>
      <c r="I107" s="226"/>
      <c r="J107" s="226">
        <v>6.7</v>
      </c>
      <c r="K107" s="226">
        <v>1.6</v>
      </c>
      <c r="L107" s="226"/>
      <c r="M107" s="226"/>
      <c r="N107" s="226"/>
      <c r="O107" s="226"/>
      <c r="P107" s="226"/>
      <c r="Q107" s="226"/>
      <c r="R107" s="226">
        <v>1</v>
      </c>
      <c r="S107" s="226"/>
      <c r="T107" s="226">
        <v>0.4</v>
      </c>
      <c r="U107" s="226">
        <v>0.5</v>
      </c>
      <c r="V107" s="226"/>
      <c r="W107" s="226">
        <v>1</v>
      </c>
    </row>
    <row r="108" spans="2:23" ht="16.5">
      <c r="B108" s="191"/>
      <c r="C108" s="191">
        <v>3</v>
      </c>
      <c r="D108" s="226">
        <f t="shared" si="2"/>
        <v>179.6</v>
      </c>
      <c r="E108" s="226">
        <v>160</v>
      </c>
      <c r="F108" s="226"/>
      <c r="G108" s="226">
        <v>2.7</v>
      </c>
      <c r="H108" s="226"/>
      <c r="I108" s="226"/>
      <c r="J108" s="226">
        <v>10.4</v>
      </c>
      <c r="K108" s="226">
        <v>3.8</v>
      </c>
      <c r="L108" s="226"/>
      <c r="M108" s="226"/>
      <c r="N108" s="226"/>
      <c r="O108" s="226"/>
      <c r="P108" s="226"/>
      <c r="Q108" s="226"/>
      <c r="R108" s="226">
        <v>0.5</v>
      </c>
      <c r="S108" s="226"/>
      <c r="T108" s="226">
        <v>1</v>
      </c>
      <c r="U108" s="226">
        <v>1.2</v>
      </c>
      <c r="V108" s="226"/>
      <c r="W108" s="226"/>
    </row>
    <row r="109" spans="2:23" ht="16.5">
      <c r="B109" s="191"/>
      <c r="C109" s="191">
        <v>4</v>
      </c>
      <c r="D109" s="226">
        <f t="shared" si="2"/>
        <v>121.6</v>
      </c>
      <c r="E109" s="226">
        <v>101</v>
      </c>
      <c r="F109" s="226"/>
      <c r="G109" s="226">
        <v>4</v>
      </c>
      <c r="H109" s="226"/>
      <c r="I109" s="226"/>
      <c r="J109" s="226">
        <v>5.6</v>
      </c>
      <c r="K109" s="226">
        <v>0.5</v>
      </c>
      <c r="L109" s="226"/>
      <c r="M109" s="226"/>
      <c r="N109" s="226"/>
      <c r="O109" s="226"/>
      <c r="P109" s="226"/>
      <c r="Q109" s="226"/>
      <c r="R109" s="226">
        <v>1.2</v>
      </c>
      <c r="S109" s="226"/>
      <c r="T109" s="226">
        <v>0.5</v>
      </c>
      <c r="U109" s="226">
        <v>7.8</v>
      </c>
      <c r="V109" s="226"/>
      <c r="W109" s="226">
        <v>1</v>
      </c>
    </row>
    <row r="110" spans="2:23" ht="16.5">
      <c r="B110" s="191"/>
      <c r="C110" s="191">
        <v>5</v>
      </c>
      <c r="D110" s="226">
        <f t="shared" si="2"/>
        <v>94.1</v>
      </c>
      <c r="E110" s="226">
        <v>75</v>
      </c>
      <c r="F110" s="226"/>
      <c r="G110" s="226">
        <v>3.6</v>
      </c>
      <c r="H110" s="226"/>
      <c r="I110" s="226"/>
      <c r="J110" s="226">
        <v>5.4</v>
      </c>
      <c r="K110" s="226">
        <v>2</v>
      </c>
      <c r="L110" s="226"/>
      <c r="M110" s="226"/>
      <c r="N110" s="226"/>
      <c r="O110" s="226"/>
      <c r="P110" s="226"/>
      <c r="Q110" s="226"/>
      <c r="R110" s="226">
        <v>0.6</v>
      </c>
      <c r="S110" s="226"/>
      <c r="T110" s="226">
        <v>0.6</v>
      </c>
      <c r="U110" s="226">
        <v>6.9</v>
      </c>
      <c r="V110" s="226"/>
      <c r="W110" s="226"/>
    </row>
    <row r="111" spans="2:23" ht="16.5">
      <c r="B111" s="191"/>
      <c r="C111" s="191">
        <v>6</v>
      </c>
      <c r="D111" s="226">
        <f t="shared" si="2"/>
        <v>96.60000000000001</v>
      </c>
      <c r="E111" s="226">
        <v>80</v>
      </c>
      <c r="F111" s="226"/>
      <c r="G111" s="226">
        <v>3.4</v>
      </c>
      <c r="H111" s="226"/>
      <c r="I111" s="226"/>
      <c r="J111" s="226">
        <v>4.8</v>
      </c>
      <c r="K111" s="226">
        <v>0</v>
      </c>
      <c r="L111" s="226"/>
      <c r="M111" s="226"/>
      <c r="N111" s="226"/>
      <c r="O111" s="226"/>
      <c r="P111" s="226"/>
      <c r="Q111" s="226"/>
      <c r="R111" s="226">
        <v>0.7</v>
      </c>
      <c r="S111" s="226"/>
      <c r="T111" s="226">
        <v>1</v>
      </c>
      <c r="U111" s="226">
        <v>6.7</v>
      </c>
      <c r="V111" s="226"/>
      <c r="W111" s="226">
        <v>0</v>
      </c>
    </row>
    <row r="112" spans="2:23" ht="16.5">
      <c r="B112" s="191"/>
      <c r="C112" s="191">
        <v>7</v>
      </c>
      <c r="D112" s="226">
        <f t="shared" si="2"/>
        <v>134.2</v>
      </c>
      <c r="E112" s="226">
        <v>103</v>
      </c>
      <c r="F112" s="226"/>
      <c r="G112" s="226">
        <v>4.8</v>
      </c>
      <c r="H112" s="226"/>
      <c r="I112" s="226"/>
      <c r="J112" s="226">
        <v>6.7</v>
      </c>
      <c r="K112" s="226">
        <v>8.3</v>
      </c>
      <c r="L112" s="226"/>
      <c r="M112" s="226"/>
      <c r="N112" s="226"/>
      <c r="O112" s="226"/>
      <c r="P112" s="226"/>
      <c r="Q112" s="226"/>
      <c r="R112" s="226">
        <v>0.6</v>
      </c>
      <c r="S112" s="226"/>
      <c r="T112" s="226">
        <v>1.7</v>
      </c>
      <c r="U112" s="226">
        <v>6.1</v>
      </c>
      <c r="V112" s="226"/>
      <c r="W112" s="226">
        <v>3</v>
      </c>
    </row>
    <row r="113" spans="2:23" ht="16.5">
      <c r="B113" s="191"/>
      <c r="C113" s="191">
        <v>8</v>
      </c>
      <c r="D113" s="226">
        <f t="shared" si="2"/>
        <v>96.9</v>
      </c>
      <c r="E113" s="226">
        <v>77</v>
      </c>
      <c r="F113" s="226"/>
      <c r="G113" s="226">
        <v>3.2</v>
      </c>
      <c r="H113" s="226"/>
      <c r="I113" s="226"/>
      <c r="J113" s="226">
        <v>4.6</v>
      </c>
      <c r="K113" s="226">
        <v>5.4</v>
      </c>
      <c r="L113" s="226"/>
      <c r="M113" s="226"/>
      <c r="N113" s="226"/>
      <c r="O113" s="226"/>
      <c r="P113" s="226"/>
      <c r="Q113" s="226"/>
      <c r="R113" s="226">
        <v>0.9</v>
      </c>
      <c r="S113" s="226"/>
      <c r="T113" s="226">
        <v>0.5</v>
      </c>
      <c r="U113" s="226">
        <v>5.3</v>
      </c>
      <c r="V113" s="226"/>
      <c r="W113" s="226">
        <v>0</v>
      </c>
    </row>
    <row r="114" spans="2:23" ht="16.5">
      <c r="B114" s="191"/>
      <c r="C114" s="191">
        <v>9</v>
      </c>
      <c r="D114" s="226">
        <f t="shared" si="2"/>
        <v>108.89999999999999</v>
      </c>
      <c r="E114" s="226">
        <v>87</v>
      </c>
      <c r="F114" s="226"/>
      <c r="G114" s="226">
        <v>3.6</v>
      </c>
      <c r="H114" s="226"/>
      <c r="I114" s="226"/>
      <c r="J114" s="226">
        <v>4</v>
      </c>
      <c r="K114" s="226">
        <v>6.9</v>
      </c>
      <c r="L114" s="226"/>
      <c r="M114" s="226"/>
      <c r="N114" s="226"/>
      <c r="O114" s="226"/>
      <c r="P114" s="226"/>
      <c r="Q114" s="226"/>
      <c r="R114" s="226">
        <v>0.6</v>
      </c>
      <c r="S114" s="226"/>
      <c r="T114" s="226">
        <v>1</v>
      </c>
      <c r="U114" s="226">
        <v>4.8</v>
      </c>
      <c r="V114" s="226"/>
      <c r="W114" s="226">
        <v>1</v>
      </c>
    </row>
    <row r="115" spans="2:23" ht="16.5">
      <c r="B115" s="191"/>
      <c r="C115" s="191">
        <v>10</v>
      </c>
      <c r="D115" s="226">
        <f t="shared" si="2"/>
        <v>98.6</v>
      </c>
      <c r="E115" s="226">
        <v>78</v>
      </c>
      <c r="F115" s="226"/>
      <c r="G115" s="226">
        <v>5.2</v>
      </c>
      <c r="H115" s="226"/>
      <c r="I115" s="226"/>
      <c r="J115" s="226">
        <v>5.6</v>
      </c>
      <c r="K115" s="226">
        <v>7.5</v>
      </c>
      <c r="L115" s="226"/>
      <c r="M115" s="226"/>
      <c r="N115" s="226"/>
      <c r="O115" s="226"/>
      <c r="P115" s="226"/>
      <c r="Q115" s="226"/>
      <c r="R115" s="226">
        <v>0.8</v>
      </c>
      <c r="S115" s="226"/>
      <c r="T115" s="226">
        <v>1.5</v>
      </c>
      <c r="U115" s="226"/>
      <c r="V115" s="226"/>
      <c r="W115" s="226"/>
    </row>
    <row r="116" spans="2:23" ht="16.5">
      <c r="B116" s="191"/>
      <c r="C116" s="191">
        <v>11</v>
      </c>
      <c r="D116" s="226">
        <f t="shared" si="2"/>
        <v>101.39999999999999</v>
      </c>
      <c r="E116" s="226">
        <v>87</v>
      </c>
      <c r="F116" s="226"/>
      <c r="G116" s="226">
        <v>3.6</v>
      </c>
      <c r="H116" s="226"/>
      <c r="I116" s="226"/>
      <c r="J116" s="226">
        <v>4</v>
      </c>
      <c r="K116" s="226">
        <v>4.5</v>
      </c>
      <c r="L116" s="226"/>
      <c r="M116" s="226"/>
      <c r="N116" s="226"/>
      <c r="O116" s="226"/>
      <c r="P116" s="226"/>
      <c r="Q116" s="226"/>
      <c r="R116" s="226">
        <v>0.3</v>
      </c>
      <c r="S116" s="226"/>
      <c r="T116" s="226">
        <v>1</v>
      </c>
      <c r="U116" s="226"/>
      <c r="V116" s="226"/>
      <c r="W116" s="226">
        <v>1</v>
      </c>
    </row>
    <row r="117" spans="2:23" ht="16.5">
      <c r="B117" s="191"/>
      <c r="C117" s="191">
        <v>12</v>
      </c>
      <c r="D117" s="226">
        <f t="shared" si="2"/>
        <v>112.7</v>
      </c>
      <c r="E117" s="226">
        <v>96</v>
      </c>
      <c r="F117" s="226"/>
      <c r="G117" s="226">
        <v>4.6</v>
      </c>
      <c r="H117" s="226"/>
      <c r="I117" s="226"/>
      <c r="J117" s="226">
        <v>4.7</v>
      </c>
      <c r="K117" s="226">
        <v>4.9</v>
      </c>
      <c r="L117" s="226"/>
      <c r="M117" s="226"/>
      <c r="N117" s="226"/>
      <c r="O117" s="226"/>
      <c r="P117" s="226"/>
      <c r="Q117" s="226"/>
      <c r="R117" s="226">
        <v>0.5</v>
      </c>
      <c r="S117" s="226"/>
      <c r="T117" s="226">
        <v>1</v>
      </c>
      <c r="U117" s="226"/>
      <c r="V117" s="226"/>
      <c r="W117" s="226">
        <v>1</v>
      </c>
    </row>
    <row r="118" spans="2:23" ht="16.5">
      <c r="B118" s="191" t="s">
        <v>147</v>
      </c>
      <c r="C118" s="191">
        <v>1</v>
      </c>
      <c r="D118" s="226">
        <f t="shared" si="2"/>
        <v>141.4</v>
      </c>
      <c r="E118" s="226">
        <v>120</v>
      </c>
      <c r="F118" s="226"/>
      <c r="G118" s="226">
        <v>2.4</v>
      </c>
      <c r="H118" s="226"/>
      <c r="I118" s="226"/>
      <c r="J118" s="226">
        <v>12.3</v>
      </c>
      <c r="K118" s="226">
        <v>3.5</v>
      </c>
      <c r="L118" s="226"/>
      <c r="M118" s="226"/>
      <c r="N118" s="226"/>
      <c r="O118" s="226"/>
      <c r="P118" s="226"/>
      <c r="Q118" s="226"/>
      <c r="R118" s="226">
        <v>0.7</v>
      </c>
      <c r="S118" s="226"/>
      <c r="T118" s="226">
        <v>0.5</v>
      </c>
      <c r="U118" s="226"/>
      <c r="V118" s="226"/>
      <c r="W118" s="226">
        <v>2</v>
      </c>
    </row>
    <row r="119" spans="2:23" ht="16.5">
      <c r="B119" s="191"/>
      <c r="C119" s="191">
        <v>2</v>
      </c>
      <c r="D119" s="226">
        <f>SUM(E119:W119)</f>
        <v>92.2</v>
      </c>
      <c r="E119" s="226">
        <v>77</v>
      </c>
      <c r="F119" s="226"/>
      <c r="G119" s="226">
        <v>2.9</v>
      </c>
      <c r="H119" s="226"/>
      <c r="I119" s="226"/>
      <c r="J119" s="226">
        <v>6.3</v>
      </c>
      <c r="K119" s="226">
        <v>3.9</v>
      </c>
      <c r="L119" s="226"/>
      <c r="M119" s="226"/>
      <c r="N119" s="226"/>
      <c r="O119" s="226"/>
      <c r="P119" s="226"/>
      <c r="Q119" s="226"/>
      <c r="R119" s="226">
        <v>0.5</v>
      </c>
      <c r="S119" s="226"/>
      <c r="T119" s="226">
        <v>0.6</v>
      </c>
      <c r="U119" s="226"/>
      <c r="V119" s="226"/>
      <c r="W119" s="226">
        <v>1</v>
      </c>
    </row>
    <row r="120" spans="2:23" ht="16.5">
      <c r="B120" s="191"/>
      <c r="C120" s="191">
        <v>3</v>
      </c>
      <c r="D120" s="226">
        <f>SUM(E120:W120)</f>
        <v>100.8</v>
      </c>
      <c r="E120" s="226">
        <v>90</v>
      </c>
      <c r="F120" s="226"/>
      <c r="G120" s="226">
        <v>4</v>
      </c>
      <c r="H120" s="226"/>
      <c r="I120" s="226"/>
      <c r="J120" s="226">
        <v>4</v>
      </c>
      <c r="K120" s="226"/>
      <c r="L120" s="226"/>
      <c r="M120" s="226"/>
      <c r="N120" s="226"/>
      <c r="O120" s="226"/>
      <c r="P120" s="226"/>
      <c r="Q120" s="226"/>
      <c r="R120" s="226">
        <v>0.1</v>
      </c>
      <c r="S120" s="226"/>
      <c r="T120" s="226">
        <v>1.7</v>
      </c>
      <c r="U120" s="226"/>
      <c r="V120" s="226"/>
      <c r="W120" s="226">
        <v>1</v>
      </c>
    </row>
    <row r="121" spans="2:23" ht="16.5">
      <c r="B121" s="191"/>
      <c r="C121" s="191">
        <v>4</v>
      </c>
      <c r="D121" s="226">
        <f aca="true" t="shared" si="3" ref="D121:D141">SUM(E121:W121)</f>
        <v>107.6</v>
      </c>
      <c r="E121" s="226">
        <v>94</v>
      </c>
      <c r="F121" s="226"/>
      <c r="G121" s="226">
        <v>3.5</v>
      </c>
      <c r="H121" s="226"/>
      <c r="I121" s="226"/>
      <c r="J121" s="226">
        <v>4.1</v>
      </c>
      <c r="K121" s="226">
        <v>4.5</v>
      </c>
      <c r="L121" s="226"/>
      <c r="M121" s="226"/>
      <c r="N121" s="226"/>
      <c r="O121" s="226"/>
      <c r="P121" s="226"/>
      <c r="Q121" s="226"/>
      <c r="R121" s="226">
        <v>0.4</v>
      </c>
      <c r="S121" s="226"/>
      <c r="T121" s="226">
        <v>1.1</v>
      </c>
      <c r="U121" s="226"/>
      <c r="V121" s="226"/>
      <c r="W121" s="226"/>
    </row>
    <row r="122" spans="2:23" ht="16.5">
      <c r="B122" s="191"/>
      <c r="C122" s="191">
        <v>5</v>
      </c>
      <c r="D122" s="226">
        <f t="shared" si="3"/>
        <v>108.10000000000001</v>
      </c>
      <c r="E122" s="226">
        <v>92</v>
      </c>
      <c r="F122" s="226"/>
      <c r="G122" s="226">
        <v>3.4</v>
      </c>
      <c r="H122" s="226"/>
      <c r="I122" s="226"/>
      <c r="J122" s="226">
        <v>4.2</v>
      </c>
      <c r="K122" s="226">
        <v>6.6</v>
      </c>
      <c r="L122" s="226"/>
      <c r="M122" s="226"/>
      <c r="N122" s="226"/>
      <c r="O122" s="226"/>
      <c r="P122" s="226"/>
      <c r="Q122" s="226"/>
      <c r="R122" s="226">
        <v>0.4</v>
      </c>
      <c r="S122" s="226"/>
      <c r="T122" s="226">
        <v>1.5</v>
      </c>
      <c r="U122" s="226"/>
      <c r="V122" s="226"/>
      <c r="W122" s="226"/>
    </row>
    <row r="123" spans="2:23" ht="16.5">
      <c r="B123" s="191"/>
      <c r="C123" s="191">
        <v>6</v>
      </c>
      <c r="D123" s="226">
        <f t="shared" si="3"/>
        <v>136.20000000000002</v>
      </c>
      <c r="E123" s="226">
        <v>108</v>
      </c>
      <c r="F123" s="226"/>
      <c r="G123" s="226">
        <v>2.1</v>
      </c>
      <c r="H123" s="226"/>
      <c r="I123" s="226"/>
      <c r="J123" s="226">
        <v>18.4</v>
      </c>
      <c r="K123" s="226">
        <v>3.9</v>
      </c>
      <c r="L123" s="226"/>
      <c r="M123" s="226"/>
      <c r="N123" s="226"/>
      <c r="O123" s="226"/>
      <c r="P123" s="226"/>
      <c r="Q123" s="226"/>
      <c r="R123" s="226">
        <v>0.3</v>
      </c>
      <c r="S123" s="226"/>
      <c r="T123" s="226">
        <v>2.5</v>
      </c>
      <c r="U123" s="226">
        <v>1</v>
      </c>
      <c r="V123" s="226"/>
      <c r="W123" s="226"/>
    </row>
    <row r="124" spans="2:23" ht="16.5">
      <c r="B124" s="191"/>
      <c r="C124" s="191">
        <v>7</v>
      </c>
      <c r="D124" s="226">
        <f t="shared" si="3"/>
        <v>113.39999999999998</v>
      </c>
      <c r="E124" s="226">
        <v>97</v>
      </c>
      <c r="F124" s="226"/>
      <c r="G124" s="226">
        <v>3.8</v>
      </c>
      <c r="H124" s="226"/>
      <c r="I124" s="226"/>
      <c r="J124" s="226">
        <v>4.3</v>
      </c>
      <c r="K124" s="226">
        <v>6.1</v>
      </c>
      <c r="L124" s="226"/>
      <c r="M124" s="226"/>
      <c r="N124" s="226"/>
      <c r="O124" s="226"/>
      <c r="P124" s="226"/>
      <c r="Q124" s="226"/>
      <c r="R124" s="226">
        <v>0.6</v>
      </c>
      <c r="S124" s="226"/>
      <c r="T124" s="226">
        <v>0.6</v>
      </c>
      <c r="U124" s="226"/>
      <c r="V124" s="226"/>
      <c r="W124" s="226">
        <v>1</v>
      </c>
    </row>
    <row r="125" spans="2:23" ht="16.5">
      <c r="B125" s="191"/>
      <c r="C125" s="191">
        <v>8</v>
      </c>
      <c r="D125" s="226">
        <f t="shared" si="3"/>
        <v>112.7</v>
      </c>
      <c r="E125" s="226">
        <v>92</v>
      </c>
      <c r="F125" s="226"/>
      <c r="G125" s="226">
        <v>3.6</v>
      </c>
      <c r="H125" s="226"/>
      <c r="I125" s="226"/>
      <c r="J125" s="226">
        <v>8.8</v>
      </c>
      <c r="K125" s="226">
        <v>5.9</v>
      </c>
      <c r="L125" s="226"/>
      <c r="M125" s="226"/>
      <c r="N125" s="226"/>
      <c r="O125" s="226"/>
      <c r="P125" s="226"/>
      <c r="Q125" s="226"/>
      <c r="R125" s="226">
        <v>1.2</v>
      </c>
      <c r="S125" s="226"/>
      <c r="T125" s="226">
        <v>1.2</v>
      </c>
      <c r="U125" s="226"/>
      <c r="V125" s="226"/>
      <c r="W125" s="226"/>
    </row>
    <row r="126" spans="2:23" ht="16.5">
      <c r="B126" s="191"/>
      <c r="C126" s="191">
        <v>9</v>
      </c>
      <c r="D126" s="226">
        <f t="shared" si="3"/>
        <v>110.80000000000001</v>
      </c>
      <c r="E126" s="226">
        <v>88</v>
      </c>
      <c r="F126" s="226"/>
      <c r="G126" s="226">
        <v>4.7</v>
      </c>
      <c r="H126" s="226"/>
      <c r="I126" s="226"/>
      <c r="J126" s="226">
        <v>12.7</v>
      </c>
      <c r="K126" s="226">
        <v>2.9</v>
      </c>
      <c r="L126" s="226"/>
      <c r="M126" s="226"/>
      <c r="N126" s="226"/>
      <c r="O126" s="226"/>
      <c r="P126" s="226"/>
      <c r="Q126" s="226"/>
      <c r="R126" s="226">
        <v>0.7</v>
      </c>
      <c r="S126" s="226"/>
      <c r="T126" s="226">
        <v>1</v>
      </c>
      <c r="U126" s="226">
        <v>0.8</v>
      </c>
      <c r="V126" s="226"/>
      <c r="W126" s="226"/>
    </row>
    <row r="127" spans="2:23" ht="16.5">
      <c r="B127" s="191"/>
      <c r="C127" s="191">
        <v>10</v>
      </c>
      <c r="D127" s="226">
        <f t="shared" si="3"/>
        <v>95.69999999999999</v>
      </c>
      <c r="E127" s="226">
        <v>73</v>
      </c>
      <c r="F127" s="226"/>
      <c r="G127" s="226">
        <v>4.8</v>
      </c>
      <c r="H127" s="226"/>
      <c r="I127" s="226"/>
      <c r="J127" s="226">
        <v>7.5</v>
      </c>
      <c r="K127" s="226">
        <v>6.1</v>
      </c>
      <c r="L127" s="226"/>
      <c r="M127" s="226"/>
      <c r="N127" s="226"/>
      <c r="O127" s="226"/>
      <c r="P127" s="226"/>
      <c r="Q127" s="226"/>
      <c r="R127" s="226">
        <v>1.8</v>
      </c>
      <c r="S127" s="226"/>
      <c r="T127" s="226">
        <v>0.5</v>
      </c>
      <c r="U127" s="226"/>
      <c r="V127" s="226"/>
      <c r="W127" s="226">
        <v>2</v>
      </c>
    </row>
    <row r="128" spans="2:23" ht="16.5">
      <c r="B128" s="191"/>
      <c r="C128" s="191">
        <v>11</v>
      </c>
      <c r="D128" s="226">
        <f t="shared" si="3"/>
        <v>112.7</v>
      </c>
      <c r="E128" s="226">
        <v>91</v>
      </c>
      <c r="F128" s="226"/>
      <c r="G128" s="226">
        <v>3.4</v>
      </c>
      <c r="H128" s="226"/>
      <c r="I128" s="226"/>
      <c r="J128" s="226">
        <v>9.9</v>
      </c>
      <c r="K128" s="226">
        <v>6.1</v>
      </c>
      <c r="L128" s="226"/>
      <c r="M128" s="226"/>
      <c r="N128" s="226"/>
      <c r="O128" s="226"/>
      <c r="P128" s="226"/>
      <c r="Q128" s="226"/>
      <c r="R128" s="226">
        <v>0.3</v>
      </c>
      <c r="S128" s="226"/>
      <c r="T128" s="226">
        <v>2</v>
      </c>
      <c r="U128" s="226"/>
      <c r="V128" s="226"/>
      <c r="W128" s="226"/>
    </row>
    <row r="129" spans="2:23" ht="16.5">
      <c r="B129" s="191"/>
      <c r="C129" s="191">
        <v>12</v>
      </c>
      <c r="D129" s="226">
        <f t="shared" si="3"/>
        <v>145.7</v>
      </c>
      <c r="E129" s="226">
        <v>121</v>
      </c>
      <c r="F129" s="226"/>
      <c r="G129" s="226">
        <v>4.6</v>
      </c>
      <c r="H129" s="226"/>
      <c r="I129" s="226"/>
      <c r="J129" s="226">
        <v>12.9</v>
      </c>
      <c r="K129" s="226">
        <v>5.7</v>
      </c>
      <c r="L129" s="226"/>
      <c r="M129" s="226"/>
      <c r="N129" s="226"/>
      <c r="O129" s="226"/>
      <c r="P129" s="226"/>
      <c r="Q129" s="226"/>
      <c r="R129" s="226">
        <v>0.7</v>
      </c>
      <c r="S129" s="226"/>
      <c r="T129" s="226">
        <v>0.8</v>
      </c>
      <c r="U129" s="226"/>
      <c r="V129" s="226"/>
      <c r="W129" s="226"/>
    </row>
    <row r="130" spans="2:23" ht="16.5">
      <c r="B130" s="191" t="s">
        <v>151</v>
      </c>
      <c r="C130" s="191">
        <v>1</v>
      </c>
      <c r="D130" s="226">
        <f t="shared" si="3"/>
        <v>109.8</v>
      </c>
      <c r="E130" s="226">
        <v>92</v>
      </c>
      <c r="F130" s="226"/>
      <c r="G130" s="226">
        <v>3.1</v>
      </c>
      <c r="H130" s="226"/>
      <c r="I130" s="226"/>
      <c r="J130" s="226">
        <v>5.1</v>
      </c>
      <c r="K130" s="226">
        <v>2.9</v>
      </c>
      <c r="L130" s="226"/>
      <c r="M130" s="226"/>
      <c r="N130" s="226"/>
      <c r="O130" s="226"/>
      <c r="P130" s="226"/>
      <c r="Q130" s="226"/>
      <c r="R130" s="226">
        <v>0.2</v>
      </c>
      <c r="S130" s="226"/>
      <c r="T130" s="226">
        <v>0.5</v>
      </c>
      <c r="U130" s="226">
        <v>6</v>
      </c>
      <c r="V130" s="226"/>
      <c r="W130" s="226">
        <v>0</v>
      </c>
    </row>
    <row r="131" spans="2:23" ht="16.5">
      <c r="B131" s="191"/>
      <c r="C131" s="191">
        <v>2</v>
      </c>
      <c r="D131" s="226">
        <f t="shared" si="3"/>
        <v>87.7</v>
      </c>
      <c r="E131" s="226">
        <v>75</v>
      </c>
      <c r="F131" s="226"/>
      <c r="G131" s="226">
        <v>2</v>
      </c>
      <c r="H131" s="226"/>
      <c r="I131" s="226"/>
      <c r="J131" s="226">
        <v>3.2</v>
      </c>
      <c r="K131" s="226">
        <v>1.8</v>
      </c>
      <c r="L131" s="226"/>
      <c r="M131" s="226"/>
      <c r="N131" s="226"/>
      <c r="O131" s="226"/>
      <c r="P131" s="226"/>
      <c r="Q131" s="226"/>
      <c r="R131" s="226">
        <v>0.5</v>
      </c>
      <c r="S131" s="226"/>
      <c r="T131" s="226">
        <v>0.7</v>
      </c>
      <c r="U131" s="226">
        <v>1.5</v>
      </c>
      <c r="V131" s="226"/>
      <c r="W131" s="226">
        <v>3</v>
      </c>
    </row>
    <row r="132" spans="2:23" ht="16.5">
      <c r="B132" s="191"/>
      <c r="C132" s="191">
        <v>3</v>
      </c>
      <c r="D132" s="226">
        <f t="shared" si="3"/>
        <v>141.39999999999998</v>
      </c>
      <c r="E132" s="226">
        <v>122</v>
      </c>
      <c r="F132" s="226"/>
      <c r="G132" s="226">
        <v>3.8</v>
      </c>
      <c r="H132" s="226"/>
      <c r="I132" s="226"/>
      <c r="J132" s="226">
        <v>7.3</v>
      </c>
      <c r="K132" s="226">
        <v>2.9</v>
      </c>
      <c r="L132" s="226"/>
      <c r="M132" s="226"/>
      <c r="N132" s="226"/>
      <c r="O132" s="226"/>
      <c r="P132" s="226"/>
      <c r="Q132" s="226"/>
      <c r="R132" s="226">
        <v>0.6</v>
      </c>
      <c r="S132" s="226"/>
      <c r="T132" s="226">
        <v>1.6</v>
      </c>
      <c r="U132" s="226">
        <v>2.2</v>
      </c>
      <c r="V132" s="226"/>
      <c r="W132" s="226">
        <v>1</v>
      </c>
    </row>
    <row r="133" spans="2:23" ht="16.5">
      <c r="B133" s="191"/>
      <c r="C133" s="191">
        <v>4</v>
      </c>
      <c r="D133" s="226">
        <f t="shared" si="3"/>
        <v>98.2</v>
      </c>
      <c r="E133" s="226">
        <v>85</v>
      </c>
      <c r="F133" s="226"/>
      <c r="G133" s="226">
        <v>3</v>
      </c>
      <c r="H133" s="226"/>
      <c r="I133" s="226"/>
      <c r="J133" s="226">
        <v>8.5</v>
      </c>
      <c r="K133" s="226">
        <v>1.7</v>
      </c>
      <c r="L133" s="226"/>
      <c r="M133" s="226"/>
      <c r="N133" s="226"/>
      <c r="O133" s="226"/>
      <c r="P133" s="226"/>
      <c r="Q133" s="226"/>
      <c r="R133" s="226">
        <v>0</v>
      </c>
      <c r="S133" s="226"/>
      <c r="T133" s="226">
        <v>0</v>
      </c>
      <c r="U133" s="226"/>
      <c r="V133" s="226"/>
      <c r="W133" s="226">
        <v>0</v>
      </c>
    </row>
    <row r="134" spans="2:23" ht="16.5">
      <c r="B134" s="191"/>
      <c r="C134" s="191">
        <v>5</v>
      </c>
      <c r="D134" s="226">
        <f t="shared" si="3"/>
        <v>104.1</v>
      </c>
      <c r="E134" s="226">
        <v>88</v>
      </c>
      <c r="F134" s="226"/>
      <c r="G134" s="226">
        <v>3.3</v>
      </c>
      <c r="H134" s="226"/>
      <c r="I134" s="226"/>
      <c r="J134" s="226">
        <v>10</v>
      </c>
      <c r="K134" s="226">
        <v>2.8</v>
      </c>
      <c r="L134" s="226"/>
      <c r="M134" s="226"/>
      <c r="N134" s="226"/>
      <c r="O134" s="226"/>
      <c r="P134" s="226"/>
      <c r="Q134" s="226"/>
      <c r="R134" s="226">
        <v>0</v>
      </c>
      <c r="S134" s="226"/>
      <c r="T134" s="226">
        <v>0</v>
      </c>
      <c r="U134" s="226"/>
      <c r="V134" s="226"/>
      <c r="W134" s="226">
        <v>0</v>
      </c>
    </row>
    <row r="135" spans="2:23" ht="16.5">
      <c r="B135" s="191"/>
      <c r="C135" s="191">
        <v>6</v>
      </c>
      <c r="D135" s="226">
        <f t="shared" si="3"/>
        <v>123.8</v>
      </c>
      <c r="E135" s="226">
        <v>101</v>
      </c>
      <c r="F135" s="226"/>
      <c r="G135" s="226">
        <v>4.3</v>
      </c>
      <c r="H135" s="226"/>
      <c r="I135" s="226"/>
      <c r="J135" s="226">
        <v>10.9</v>
      </c>
      <c r="K135" s="226">
        <v>7.6</v>
      </c>
      <c r="L135" s="226"/>
      <c r="M135" s="226"/>
      <c r="N135" s="226"/>
      <c r="O135" s="226"/>
      <c r="P135" s="226"/>
      <c r="Q135" s="226"/>
      <c r="R135" s="226">
        <v>0</v>
      </c>
      <c r="S135" s="226"/>
      <c r="T135" s="226">
        <v>0</v>
      </c>
      <c r="U135" s="226"/>
      <c r="V135" s="226"/>
      <c r="W135" s="226">
        <v>0</v>
      </c>
    </row>
    <row r="136" spans="2:23" ht="16.5">
      <c r="B136" s="191"/>
      <c r="C136" s="191">
        <v>7</v>
      </c>
      <c r="D136" s="226">
        <f t="shared" si="3"/>
        <v>102.4</v>
      </c>
      <c r="E136" s="226">
        <v>89</v>
      </c>
      <c r="F136" s="226"/>
      <c r="G136" s="226">
        <v>2.9</v>
      </c>
      <c r="H136" s="226"/>
      <c r="I136" s="226"/>
      <c r="J136" s="226">
        <v>5.4</v>
      </c>
      <c r="K136" s="226">
        <v>5.1</v>
      </c>
      <c r="L136" s="226"/>
      <c r="M136" s="226"/>
      <c r="N136" s="226"/>
      <c r="O136" s="226"/>
      <c r="P136" s="226"/>
      <c r="Q136" s="226"/>
      <c r="R136" s="226">
        <v>0</v>
      </c>
      <c r="S136" s="226"/>
      <c r="T136" s="226">
        <v>0</v>
      </c>
      <c r="U136" s="226"/>
      <c r="V136" s="226"/>
      <c r="W136" s="226">
        <v>0</v>
      </c>
    </row>
    <row r="137" spans="2:23" ht="16.5">
      <c r="B137" s="191"/>
      <c r="C137" s="191">
        <v>8</v>
      </c>
      <c r="D137" s="226">
        <f t="shared" si="3"/>
        <v>178.20000000000002</v>
      </c>
      <c r="E137" s="226">
        <v>165</v>
      </c>
      <c r="F137" s="226"/>
      <c r="G137" s="226">
        <v>2.8</v>
      </c>
      <c r="H137" s="226"/>
      <c r="I137" s="226"/>
      <c r="J137" s="226">
        <v>6.3</v>
      </c>
      <c r="K137" s="226">
        <v>4.1</v>
      </c>
      <c r="L137" s="226"/>
      <c r="M137" s="226"/>
      <c r="N137" s="226"/>
      <c r="O137" s="226"/>
      <c r="P137" s="226"/>
      <c r="Q137" s="226"/>
      <c r="R137" s="226">
        <v>0</v>
      </c>
      <c r="S137" s="226"/>
      <c r="T137" s="226">
        <v>0</v>
      </c>
      <c r="U137" s="226"/>
      <c r="V137" s="226"/>
      <c r="W137" s="226">
        <v>0</v>
      </c>
    </row>
    <row r="138" spans="2:23" ht="16.5">
      <c r="B138" s="191"/>
      <c r="C138" s="191">
        <v>9</v>
      </c>
      <c r="D138" s="226">
        <f t="shared" si="3"/>
        <v>90</v>
      </c>
      <c r="E138" s="226">
        <v>82</v>
      </c>
      <c r="F138" s="226"/>
      <c r="G138" s="226">
        <v>2.6</v>
      </c>
      <c r="H138" s="226"/>
      <c r="I138" s="226"/>
      <c r="J138" s="226">
        <v>5.4</v>
      </c>
      <c r="K138" s="226">
        <v>0</v>
      </c>
      <c r="L138" s="226"/>
      <c r="M138" s="226"/>
      <c r="N138" s="226"/>
      <c r="O138" s="226"/>
      <c r="P138" s="226"/>
      <c r="Q138" s="226"/>
      <c r="R138" s="226">
        <v>0</v>
      </c>
      <c r="S138" s="226"/>
      <c r="T138" s="226">
        <v>0</v>
      </c>
      <c r="U138" s="226"/>
      <c r="V138" s="226"/>
      <c r="W138" s="226">
        <v>0</v>
      </c>
    </row>
    <row r="139" spans="2:23" ht="16.5">
      <c r="B139" s="191"/>
      <c r="C139" s="191">
        <v>10</v>
      </c>
      <c r="D139" s="226">
        <f t="shared" si="3"/>
        <v>83</v>
      </c>
      <c r="E139" s="226">
        <v>76</v>
      </c>
      <c r="F139" s="226"/>
      <c r="G139" s="226">
        <v>0</v>
      </c>
      <c r="H139" s="226"/>
      <c r="I139" s="226"/>
      <c r="J139" s="226">
        <v>5.1</v>
      </c>
      <c r="K139" s="226">
        <v>1.9</v>
      </c>
      <c r="L139" s="226"/>
      <c r="M139" s="226"/>
      <c r="N139" s="226"/>
      <c r="O139" s="226"/>
      <c r="P139" s="226"/>
      <c r="Q139" s="226"/>
      <c r="R139" s="226">
        <v>0</v>
      </c>
      <c r="S139" s="226"/>
      <c r="T139" s="226">
        <v>0</v>
      </c>
      <c r="U139" s="226"/>
      <c r="V139" s="226"/>
      <c r="W139" s="226">
        <v>0</v>
      </c>
    </row>
    <row r="140" spans="2:23" ht="16.5">
      <c r="B140" s="191"/>
      <c r="C140" s="191">
        <v>11</v>
      </c>
      <c r="D140" s="226">
        <f t="shared" si="3"/>
        <v>85.2</v>
      </c>
      <c r="E140" s="226">
        <v>60</v>
      </c>
      <c r="F140" s="226"/>
      <c r="G140" s="226">
        <v>5.2</v>
      </c>
      <c r="H140" s="226"/>
      <c r="I140" s="226"/>
      <c r="J140" s="226">
        <v>15.8</v>
      </c>
      <c r="K140" s="226">
        <v>4.2</v>
      </c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</row>
    <row r="141" spans="2:23" ht="16.5">
      <c r="B141" s="191"/>
      <c r="C141" s="191">
        <v>12</v>
      </c>
      <c r="D141" s="226">
        <f t="shared" si="3"/>
        <v>108.7</v>
      </c>
      <c r="E141" s="226">
        <v>98</v>
      </c>
      <c r="F141" s="226"/>
      <c r="G141" s="226">
        <v>2.7</v>
      </c>
      <c r="H141" s="226"/>
      <c r="I141" s="226"/>
      <c r="J141" s="226">
        <v>5.3</v>
      </c>
      <c r="K141" s="226">
        <v>2.7</v>
      </c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</row>
    <row r="142" spans="2:23" ht="16.5">
      <c r="B142" s="191" t="s">
        <v>152</v>
      </c>
      <c r="C142" s="191">
        <v>1</v>
      </c>
      <c r="D142" s="226">
        <f aca="true" t="shared" si="4" ref="D142:D177">SUM(E142:W142)</f>
        <v>53.8</v>
      </c>
      <c r="E142" s="226">
        <v>46</v>
      </c>
      <c r="F142" s="226"/>
      <c r="G142" s="226">
        <v>1.6</v>
      </c>
      <c r="H142" s="226"/>
      <c r="I142" s="226"/>
      <c r="J142" s="226">
        <v>3.3</v>
      </c>
      <c r="K142" s="226">
        <v>2.9</v>
      </c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</row>
    <row r="143" spans="2:23" ht="16.5">
      <c r="B143" s="191"/>
      <c r="C143" s="191">
        <v>2</v>
      </c>
      <c r="D143" s="226">
        <f aca="true" t="shared" si="5" ref="D143:D153">SUM(E143:W143)</f>
        <v>104.8</v>
      </c>
      <c r="E143" s="226">
        <v>89</v>
      </c>
      <c r="F143" s="226"/>
      <c r="G143" s="226">
        <v>3.3</v>
      </c>
      <c r="H143" s="226"/>
      <c r="I143" s="226"/>
      <c r="J143" s="226">
        <v>6.6</v>
      </c>
      <c r="K143" s="226">
        <v>5.9</v>
      </c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</row>
    <row r="144" spans="2:23" ht="16.5">
      <c r="B144" s="191"/>
      <c r="C144" s="191">
        <v>3</v>
      </c>
      <c r="D144" s="226">
        <f t="shared" si="5"/>
        <v>96.10000000000001</v>
      </c>
      <c r="E144" s="226">
        <v>85</v>
      </c>
      <c r="F144" s="226"/>
      <c r="G144" s="226">
        <v>2.3</v>
      </c>
      <c r="H144" s="226"/>
      <c r="I144" s="226"/>
      <c r="J144" s="226">
        <v>4.9</v>
      </c>
      <c r="K144" s="226">
        <v>3.9</v>
      </c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</row>
    <row r="145" spans="2:23" ht="16.5">
      <c r="B145" s="191"/>
      <c r="C145" s="191">
        <v>4</v>
      </c>
      <c r="D145" s="226">
        <f t="shared" si="5"/>
        <v>83.5</v>
      </c>
      <c r="E145" s="226">
        <v>63</v>
      </c>
      <c r="F145" s="226"/>
      <c r="G145" s="226">
        <v>5.9</v>
      </c>
      <c r="H145" s="226"/>
      <c r="I145" s="226"/>
      <c r="J145" s="226">
        <v>11.1</v>
      </c>
      <c r="K145" s="226">
        <v>3.5</v>
      </c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</row>
    <row r="146" spans="2:23" ht="16.5">
      <c r="B146" s="191"/>
      <c r="C146" s="191">
        <v>5</v>
      </c>
      <c r="D146" s="226">
        <f t="shared" si="5"/>
        <v>105.7</v>
      </c>
      <c r="E146" s="226">
        <v>78</v>
      </c>
      <c r="F146" s="226"/>
      <c r="G146" s="226">
        <v>6.5</v>
      </c>
      <c r="H146" s="226"/>
      <c r="I146" s="226"/>
      <c r="J146" s="226">
        <v>15.7</v>
      </c>
      <c r="K146" s="226">
        <v>5.5</v>
      </c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</row>
    <row r="147" spans="2:23" ht="16.5">
      <c r="B147" s="191"/>
      <c r="C147" s="191">
        <v>6</v>
      </c>
      <c r="D147" s="226">
        <f t="shared" si="5"/>
        <v>105.3</v>
      </c>
      <c r="E147" s="226">
        <v>87</v>
      </c>
      <c r="F147" s="226"/>
      <c r="G147" s="226">
        <v>4.5</v>
      </c>
      <c r="H147" s="226"/>
      <c r="I147" s="226"/>
      <c r="J147" s="226">
        <v>10.3</v>
      </c>
      <c r="K147" s="226">
        <v>3.5</v>
      </c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</row>
    <row r="148" spans="2:23" ht="16.5">
      <c r="B148" s="191"/>
      <c r="C148" s="191">
        <v>7</v>
      </c>
      <c r="D148" s="226">
        <f t="shared" si="5"/>
        <v>102.19999999999999</v>
      </c>
      <c r="E148" s="226">
        <v>85</v>
      </c>
      <c r="F148" s="226"/>
      <c r="G148" s="226">
        <v>4.6</v>
      </c>
      <c r="H148" s="226"/>
      <c r="I148" s="226"/>
      <c r="J148" s="226">
        <v>10.1</v>
      </c>
      <c r="K148" s="226">
        <v>2.5</v>
      </c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</row>
    <row r="149" spans="2:23" ht="16.5">
      <c r="B149" s="191"/>
      <c r="C149" s="191">
        <v>8</v>
      </c>
      <c r="D149" s="226">
        <f t="shared" si="5"/>
        <v>155.9</v>
      </c>
      <c r="E149" s="226">
        <v>130</v>
      </c>
      <c r="F149" s="226"/>
      <c r="G149" s="226">
        <v>6.8</v>
      </c>
      <c r="H149" s="226"/>
      <c r="I149" s="226"/>
      <c r="J149" s="226">
        <v>14.4</v>
      </c>
      <c r="K149" s="226">
        <v>4.7</v>
      </c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</row>
    <row r="150" spans="2:23" ht="16.5">
      <c r="B150" s="191"/>
      <c r="C150" s="191">
        <v>9</v>
      </c>
      <c r="D150" s="226">
        <f t="shared" si="5"/>
        <v>127.6</v>
      </c>
      <c r="E150" s="226">
        <v>104</v>
      </c>
      <c r="F150" s="226"/>
      <c r="G150" s="226">
        <v>5.8</v>
      </c>
      <c r="H150" s="226"/>
      <c r="I150" s="226"/>
      <c r="J150" s="226">
        <v>12.2</v>
      </c>
      <c r="K150" s="226">
        <v>5.6</v>
      </c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6"/>
    </row>
    <row r="151" spans="2:23" ht="16.5">
      <c r="B151" s="191"/>
      <c r="C151" s="191">
        <v>10</v>
      </c>
      <c r="D151" s="226">
        <f t="shared" si="5"/>
        <v>100.30000000000001</v>
      </c>
      <c r="E151" s="226">
        <v>85</v>
      </c>
      <c r="F151" s="226"/>
      <c r="G151" s="226">
        <v>3.4</v>
      </c>
      <c r="H151" s="226"/>
      <c r="I151" s="226"/>
      <c r="J151" s="226">
        <v>10</v>
      </c>
      <c r="K151" s="226">
        <v>1.9</v>
      </c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</row>
    <row r="152" spans="2:23" ht="16.5">
      <c r="B152" s="191"/>
      <c r="C152" s="191">
        <v>11</v>
      </c>
      <c r="D152" s="226">
        <f t="shared" si="5"/>
        <v>105.6</v>
      </c>
      <c r="E152" s="226">
        <v>86</v>
      </c>
      <c r="F152" s="226"/>
      <c r="G152" s="226">
        <v>5.5</v>
      </c>
      <c r="H152" s="226"/>
      <c r="I152" s="226"/>
      <c r="J152" s="226">
        <v>10.3</v>
      </c>
      <c r="K152" s="226">
        <v>3.8</v>
      </c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</row>
    <row r="153" spans="2:23" ht="16.5">
      <c r="B153" s="191"/>
      <c r="C153" s="191">
        <v>12</v>
      </c>
      <c r="D153" s="226">
        <f t="shared" si="5"/>
        <v>99</v>
      </c>
      <c r="E153" s="226">
        <v>80</v>
      </c>
      <c r="F153" s="226"/>
      <c r="G153" s="226">
        <v>2.8</v>
      </c>
      <c r="H153" s="226"/>
      <c r="I153" s="226"/>
      <c r="J153" s="226">
        <v>13.3</v>
      </c>
      <c r="K153" s="226">
        <v>2.9</v>
      </c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</row>
    <row r="154" spans="2:23" ht="16.5">
      <c r="B154" s="191" t="s">
        <v>153</v>
      </c>
      <c r="C154" s="191">
        <v>1</v>
      </c>
      <c r="D154" s="226">
        <f t="shared" si="4"/>
        <v>122.29999999999998</v>
      </c>
      <c r="E154" s="226">
        <v>105</v>
      </c>
      <c r="F154" s="226"/>
      <c r="G154" s="226">
        <v>4.6</v>
      </c>
      <c r="H154" s="226"/>
      <c r="I154" s="226"/>
      <c r="J154" s="226">
        <v>11.6</v>
      </c>
      <c r="K154" s="226">
        <v>1.1</v>
      </c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</row>
    <row r="155" spans="2:23" ht="16.5">
      <c r="B155" s="191"/>
      <c r="C155" s="191">
        <v>2</v>
      </c>
      <c r="D155" s="226">
        <f t="shared" si="4"/>
        <v>67.10000000000001</v>
      </c>
      <c r="E155" s="226">
        <v>54</v>
      </c>
      <c r="F155" s="226"/>
      <c r="G155" s="226">
        <v>3.8</v>
      </c>
      <c r="H155" s="226"/>
      <c r="I155" s="226"/>
      <c r="J155" s="226">
        <v>7.4</v>
      </c>
      <c r="K155" s="226">
        <v>1.9</v>
      </c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</row>
    <row r="156" spans="2:23" ht="16.5">
      <c r="B156" s="191"/>
      <c r="C156" s="191">
        <v>3</v>
      </c>
      <c r="D156" s="226">
        <f t="shared" si="4"/>
        <v>108.2</v>
      </c>
      <c r="E156" s="226">
        <v>64</v>
      </c>
      <c r="F156" s="226"/>
      <c r="G156" s="226">
        <v>3.7</v>
      </c>
      <c r="H156" s="226"/>
      <c r="I156" s="226"/>
      <c r="J156" s="226">
        <v>10.5</v>
      </c>
      <c r="K156" s="226">
        <v>30</v>
      </c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6"/>
    </row>
    <row r="157" spans="2:23" ht="16.5">
      <c r="B157" s="191"/>
      <c r="C157" s="191">
        <v>4</v>
      </c>
      <c r="D157" s="226">
        <f t="shared" si="4"/>
        <v>123.5</v>
      </c>
      <c r="E157" s="226">
        <v>105</v>
      </c>
      <c r="F157" s="226"/>
      <c r="G157" s="226">
        <v>4</v>
      </c>
      <c r="H157" s="226"/>
      <c r="I157" s="226"/>
      <c r="J157" s="226">
        <v>11.2</v>
      </c>
      <c r="K157" s="226">
        <v>3.3</v>
      </c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</row>
    <row r="158" spans="2:23" ht="16.5">
      <c r="B158" s="191"/>
      <c r="C158" s="191">
        <v>5</v>
      </c>
      <c r="D158" s="226">
        <f t="shared" si="4"/>
        <v>123.89999999999999</v>
      </c>
      <c r="E158" s="226">
        <v>107</v>
      </c>
      <c r="F158" s="226"/>
      <c r="G158" s="226">
        <v>3.8</v>
      </c>
      <c r="H158" s="226"/>
      <c r="I158" s="226"/>
      <c r="J158" s="226">
        <v>10.5</v>
      </c>
      <c r="K158" s="226">
        <v>2.6</v>
      </c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</row>
    <row r="159" spans="2:23" ht="16.5">
      <c r="B159" s="191"/>
      <c r="C159" s="191">
        <v>6</v>
      </c>
      <c r="D159" s="226">
        <f t="shared" si="4"/>
        <v>49.3</v>
      </c>
      <c r="E159" s="226">
        <v>48</v>
      </c>
      <c r="F159" s="226"/>
      <c r="G159" s="226">
        <v>1.3</v>
      </c>
      <c r="H159" s="226"/>
      <c r="I159" s="226"/>
      <c r="J159" s="226">
        <v>0</v>
      </c>
      <c r="K159" s="226">
        <v>0</v>
      </c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</row>
    <row r="160" spans="2:23" ht="16.5">
      <c r="B160" s="191"/>
      <c r="C160" s="191">
        <v>7</v>
      </c>
      <c r="D160" s="226">
        <f t="shared" si="4"/>
        <v>52</v>
      </c>
      <c r="E160" s="226">
        <v>47</v>
      </c>
      <c r="F160" s="226"/>
      <c r="G160" s="226">
        <v>0.9</v>
      </c>
      <c r="H160" s="226"/>
      <c r="I160" s="226"/>
      <c r="J160" s="226">
        <v>3.6</v>
      </c>
      <c r="K160" s="226">
        <v>0.5</v>
      </c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</row>
    <row r="161" spans="2:23" ht="16.5">
      <c r="B161" s="191"/>
      <c r="C161" s="191">
        <v>8</v>
      </c>
      <c r="D161" s="226">
        <f t="shared" si="4"/>
        <v>81.8</v>
      </c>
      <c r="E161" s="226">
        <v>75</v>
      </c>
      <c r="F161" s="226"/>
      <c r="G161" s="226">
        <v>1</v>
      </c>
      <c r="H161" s="226"/>
      <c r="I161" s="226"/>
      <c r="J161" s="226">
        <v>5.1</v>
      </c>
      <c r="K161" s="226">
        <v>0.7</v>
      </c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</row>
    <row r="162" spans="2:23" ht="16.5">
      <c r="B162" s="191"/>
      <c r="C162" s="191">
        <v>9</v>
      </c>
      <c r="D162" s="226">
        <f t="shared" si="4"/>
        <v>94.2</v>
      </c>
      <c r="E162" s="226">
        <v>81</v>
      </c>
      <c r="F162" s="226"/>
      <c r="G162" s="226">
        <v>3.7</v>
      </c>
      <c r="H162" s="226"/>
      <c r="I162" s="226"/>
      <c r="J162" s="226">
        <v>7.4</v>
      </c>
      <c r="K162" s="226">
        <v>2.1</v>
      </c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</row>
    <row r="163" spans="2:23" ht="16.5">
      <c r="B163" s="191"/>
      <c r="C163" s="191">
        <v>10</v>
      </c>
      <c r="D163" s="226">
        <f t="shared" si="4"/>
        <v>120.3</v>
      </c>
      <c r="E163" s="226">
        <v>102</v>
      </c>
      <c r="F163" s="226"/>
      <c r="G163" s="226">
        <v>5.7</v>
      </c>
      <c r="H163" s="226"/>
      <c r="I163" s="226"/>
      <c r="J163" s="226">
        <v>8.6</v>
      </c>
      <c r="K163" s="226">
        <v>4</v>
      </c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</row>
    <row r="164" spans="2:23" ht="16.5">
      <c r="B164" s="191"/>
      <c r="C164" s="191">
        <v>11</v>
      </c>
      <c r="D164" s="226">
        <f t="shared" si="4"/>
        <v>92.4</v>
      </c>
      <c r="E164" s="226">
        <v>77</v>
      </c>
      <c r="F164" s="226"/>
      <c r="G164" s="226">
        <v>3.3</v>
      </c>
      <c r="H164" s="226"/>
      <c r="I164" s="226"/>
      <c r="J164" s="226">
        <v>8.9</v>
      </c>
      <c r="K164" s="226">
        <v>3.2</v>
      </c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6"/>
    </row>
    <row r="165" spans="2:23" ht="16.5">
      <c r="B165" s="191"/>
      <c r="C165" s="191">
        <v>12</v>
      </c>
      <c r="D165" s="226">
        <f t="shared" si="4"/>
        <v>105.6</v>
      </c>
      <c r="E165" s="226">
        <v>86</v>
      </c>
      <c r="F165" s="226"/>
      <c r="G165" s="226">
        <v>5.5</v>
      </c>
      <c r="H165" s="226"/>
      <c r="I165" s="226"/>
      <c r="J165" s="226">
        <v>10.3</v>
      </c>
      <c r="K165" s="226">
        <v>3.8</v>
      </c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</row>
    <row r="166" spans="2:23" ht="16.5">
      <c r="B166" s="191" t="s">
        <v>154</v>
      </c>
      <c r="C166" s="191">
        <v>1</v>
      </c>
      <c r="D166" s="226">
        <f t="shared" si="4"/>
        <v>0</v>
      </c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</row>
    <row r="167" spans="2:23" ht="16.5">
      <c r="B167" s="191"/>
      <c r="C167" s="191">
        <v>2</v>
      </c>
      <c r="D167" s="226">
        <f t="shared" si="4"/>
        <v>0</v>
      </c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</row>
    <row r="168" spans="2:23" ht="16.5">
      <c r="B168" s="191"/>
      <c r="C168" s="191">
        <v>3</v>
      </c>
      <c r="D168" s="226">
        <f t="shared" si="4"/>
        <v>0</v>
      </c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</row>
    <row r="169" spans="2:23" ht="16.5">
      <c r="B169" s="191"/>
      <c r="C169" s="191">
        <v>4</v>
      </c>
      <c r="D169" s="226">
        <f t="shared" si="4"/>
        <v>0</v>
      </c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</row>
    <row r="170" spans="2:23" ht="16.5">
      <c r="B170" s="191"/>
      <c r="C170" s="191">
        <v>5</v>
      </c>
      <c r="D170" s="226">
        <f t="shared" si="4"/>
        <v>0</v>
      </c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</row>
    <row r="171" spans="2:23" ht="16.5">
      <c r="B171" s="191"/>
      <c r="C171" s="191">
        <v>6</v>
      </c>
      <c r="D171" s="226">
        <f t="shared" si="4"/>
        <v>0</v>
      </c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</row>
    <row r="172" spans="2:23" ht="16.5">
      <c r="B172" s="191"/>
      <c r="C172" s="191">
        <v>7</v>
      </c>
      <c r="D172" s="226">
        <f t="shared" si="4"/>
        <v>0</v>
      </c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</row>
    <row r="173" spans="2:23" ht="16.5">
      <c r="B173" s="191"/>
      <c r="C173" s="191">
        <v>8</v>
      </c>
      <c r="D173" s="226">
        <f t="shared" si="4"/>
        <v>0</v>
      </c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</row>
    <row r="174" spans="2:23" ht="16.5">
      <c r="B174" s="191"/>
      <c r="C174" s="191">
        <v>9</v>
      </c>
      <c r="D174" s="226">
        <f t="shared" si="4"/>
        <v>0</v>
      </c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</row>
    <row r="175" spans="2:23" ht="16.5">
      <c r="B175" s="191"/>
      <c r="C175" s="191">
        <v>10</v>
      </c>
      <c r="D175" s="226">
        <f t="shared" si="4"/>
        <v>0</v>
      </c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</row>
    <row r="176" spans="2:23" ht="16.5">
      <c r="B176" s="191"/>
      <c r="C176" s="191">
        <v>11</v>
      </c>
      <c r="D176" s="226">
        <f t="shared" si="4"/>
        <v>0</v>
      </c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</row>
    <row r="177" spans="2:23" ht="16.5">
      <c r="B177" s="191"/>
      <c r="C177" s="191">
        <v>12</v>
      </c>
      <c r="D177" s="226">
        <f t="shared" si="4"/>
        <v>0</v>
      </c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</row>
  </sheetData>
  <sheetProtection/>
  <printOptions horizontalCentered="1" verticalCentered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</sheetPr>
  <dimension ref="A2:V16"/>
  <sheetViews>
    <sheetView zoomScale="82" zoomScaleNormal="82" zoomScalePageLayoutView="0" workbookViewId="0" topLeftCell="A1">
      <selection activeCell="W16" sqref="W16"/>
    </sheetView>
  </sheetViews>
  <sheetFormatPr defaultColWidth="8.875" defaultRowHeight="16.5"/>
  <cols>
    <col min="1" max="1" width="5.50390625" style="1" bestFit="1" customWidth="1"/>
    <col min="2" max="2" width="9.00390625" style="1" customWidth="1"/>
    <col min="3" max="3" width="8.75390625" style="1" customWidth="1"/>
    <col min="4" max="4" width="4.625" style="1" customWidth="1"/>
    <col min="5" max="6" width="7.375" style="1" customWidth="1"/>
    <col min="7" max="7" width="7.50390625" style="1" customWidth="1"/>
    <col min="8" max="8" width="8.625" style="80" customWidth="1"/>
    <col min="9" max="9" width="5.75390625" style="1" customWidth="1"/>
    <col min="10" max="10" width="3.875" style="1" customWidth="1"/>
    <col min="11" max="11" width="7.50390625" style="1" customWidth="1"/>
    <col min="12" max="12" width="8.50390625" style="1" customWidth="1"/>
    <col min="13" max="13" width="4.50390625" style="1" customWidth="1"/>
    <col min="14" max="14" width="8.375" style="80" customWidth="1"/>
    <col min="15" max="15" width="4.50390625" style="1" customWidth="1"/>
    <col min="16" max="16" width="6.875" style="1" customWidth="1"/>
    <col min="17" max="17" width="5.25390625" style="1" customWidth="1"/>
    <col min="18" max="18" width="7.25390625" style="1" customWidth="1"/>
    <col min="19" max="19" width="5.50390625" style="1" customWidth="1"/>
    <col min="20" max="20" width="4.00390625" style="1" customWidth="1"/>
    <col min="21" max="21" width="5.25390625" style="1" customWidth="1"/>
    <col min="22" max="22" width="8.25390625" style="1" customWidth="1"/>
    <col min="23" max="16384" width="8.875" style="2" customWidth="1"/>
  </cols>
  <sheetData>
    <row r="1" ht="3.75" customHeight="1" thickBot="1"/>
    <row r="2" spans="1:22" s="4" customFormat="1" ht="63" customHeight="1">
      <c r="A2" s="30" t="s">
        <v>19</v>
      </c>
      <c r="B2" s="3" t="s">
        <v>50</v>
      </c>
      <c r="C2" s="3" t="s">
        <v>2</v>
      </c>
      <c r="D2" s="3" t="s">
        <v>3</v>
      </c>
      <c r="E2" s="3" t="s">
        <v>4</v>
      </c>
      <c r="F2" s="3" t="s">
        <v>20</v>
      </c>
      <c r="G2" s="3" t="s">
        <v>6</v>
      </c>
      <c r="H2" s="81" t="s">
        <v>21</v>
      </c>
      <c r="I2" s="3" t="s">
        <v>22</v>
      </c>
      <c r="J2" s="3" t="s">
        <v>9</v>
      </c>
      <c r="K2" s="3" t="s">
        <v>10</v>
      </c>
      <c r="L2" s="3" t="s">
        <v>11</v>
      </c>
      <c r="M2" s="3" t="s">
        <v>12</v>
      </c>
      <c r="N2" s="81" t="s">
        <v>13</v>
      </c>
      <c r="O2" s="3" t="s">
        <v>14</v>
      </c>
      <c r="P2" s="3" t="s">
        <v>15</v>
      </c>
      <c r="Q2" s="3" t="s">
        <v>23</v>
      </c>
      <c r="R2" s="3" t="s">
        <v>29</v>
      </c>
      <c r="S2" s="3" t="s">
        <v>24</v>
      </c>
      <c r="T2" s="3" t="s">
        <v>25</v>
      </c>
      <c r="U2" s="3" t="s">
        <v>26</v>
      </c>
      <c r="V2" s="68" t="s">
        <v>49</v>
      </c>
    </row>
    <row r="3" spans="1:22" s="82" customFormat="1" ht="19.5" customHeight="1">
      <c r="A3" s="99">
        <v>1</v>
      </c>
      <c r="B3" s="100">
        <f>SUM(C3:V3)</f>
        <v>4427</v>
      </c>
      <c r="C3" s="101">
        <v>1946</v>
      </c>
      <c r="D3" s="101">
        <v>11</v>
      </c>
      <c r="E3" s="101">
        <v>42</v>
      </c>
      <c r="F3" s="101">
        <v>85</v>
      </c>
      <c r="G3" s="101">
        <v>80</v>
      </c>
      <c r="H3" s="102">
        <v>60</v>
      </c>
      <c r="I3" s="101"/>
      <c r="J3" s="101"/>
      <c r="K3" s="101">
        <v>80</v>
      </c>
      <c r="L3" s="101">
        <v>945</v>
      </c>
      <c r="M3" s="101"/>
      <c r="N3" s="102"/>
      <c r="O3" s="101"/>
      <c r="P3" s="101">
        <v>20</v>
      </c>
      <c r="Q3" s="101"/>
      <c r="R3" s="101"/>
      <c r="S3" s="101"/>
      <c r="T3" s="101">
        <v>12</v>
      </c>
      <c r="U3" s="101">
        <v>54</v>
      </c>
      <c r="V3" s="103">
        <v>1092</v>
      </c>
    </row>
    <row r="4" spans="1:22" s="82" customFormat="1" ht="19.5" customHeight="1">
      <c r="A4" s="99">
        <v>2</v>
      </c>
      <c r="B4" s="100">
        <f aca="true" t="shared" si="0" ref="B4:B14">SUM(C4:V4)</f>
        <v>1555.5</v>
      </c>
      <c r="C4" s="101">
        <v>656</v>
      </c>
      <c r="D4" s="101">
        <v>6</v>
      </c>
      <c r="E4" s="101">
        <v>24</v>
      </c>
      <c r="F4" s="101"/>
      <c r="G4" s="101">
        <v>36</v>
      </c>
      <c r="H4" s="102">
        <v>12</v>
      </c>
      <c r="I4" s="101"/>
      <c r="J4" s="101"/>
      <c r="K4" s="101"/>
      <c r="L4" s="101"/>
      <c r="M4" s="101"/>
      <c r="N4" s="102"/>
      <c r="O4" s="101"/>
      <c r="P4" s="101">
        <v>1.5</v>
      </c>
      <c r="Q4" s="101"/>
      <c r="R4" s="101">
        <v>177</v>
      </c>
      <c r="S4" s="101"/>
      <c r="T4" s="101">
        <v>6</v>
      </c>
      <c r="U4" s="101">
        <v>49</v>
      </c>
      <c r="V4" s="103">
        <v>588</v>
      </c>
    </row>
    <row r="5" spans="1:22" s="82" customFormat="1" ht="19.5" customHeight="1">
      <c r="A5" s="99">
        <v>3</v>
      </c>
      <c r="B5" s="100">
        <f t="shared" si="0"/>
        <v>4339.5</v>
      </c>
      <c r="C5" s="101">
        <v>895</v>
      </c>
      <c r="D5" s="101">
        <v>12</v>
      </c>
      <c r="E5" s="101">
        <v>48</v>
      </c>
      <c r="F5" s="101">
        <v>200</v>
      </c>
      <c r="G5" s="101">
        <v>66</v>
      </c>
      <c r="H5" s="102">
        <v>33</v>
      </c>
      <c r="I5" s="101"/>
      <c r="J5" s="101"/>
      <c r="K5" s="101">
        <v>74.5</v>
      </c>
      <c r="L5" s="101">
        <v>1106</v>
      </c>
      <c r="M5" s="101"/>
      <c r="N5" s="102">
        <v>11</v>
      </c>
      <c r="O5" s="101"/>
      <c r="P5" s="101">
        <v>10</v>
      </c>
      <c r="Q5" s="101"/>
      <c r="R5" s="101">
        <v>79</v>
      </c>
      <c r="S5" s="101"/>
      <c r="T5" s="101">
        <v>2</v>
      </c>
      <c r="U5" s="101">
        <v>39</v>
      </c>
      <c r="V5" s="103">
        <v>1764</v>
      </c>
    </row>
    <row r="6" spans="1:22" s="82" customFormat="1" ht="19.5" customHeight="1">
      <c r="A6" s="99">
        <v>4</v>
      </c>
      <c r="B6" s="100">
        <f t="shared" si="0"/>
        <v>5598</v>
      </c>
      <c r="C6" s="101">
        <v>1940</v>
      </c>
      <c r="D6" s="101">
        <v>16</v>
      </c>
      <c r="E6" s="101">
        <v>61</v>
      </c>
      <c r="F6" s="101">
        <v>300</v>
      </c>
      <c r="G6" s="101">
        <v>350</v>
      </c>
      <c r="H6" s="102">
        <v>200</v>
      </c>
      <c r="I6" s="101"/>
      <c r="J6" s="101"/>
      <c r="K6" s="101">
        <v>60</v>
      </c>
      <c r="L6" s="101">
        <v>806</v>
      </c>
      <c r="M6" s="101"/>
      <c r="N6" s="102">
        <v>17</v>
      </c>
      <c r="O6" s="101"/>
      <c r="P6" s="101">
        <v>6.5</v>
      </c>
      <c r="Q6" s="101"/>
      <c r="R6" s="101">
        <v>204</v>
      </c>
      <c r="S6" s="101"/>
      <c r="T6" s="101">
        <v>8</v>
      </c>
      <c r="U6" s="101">
        <v>33.5</v>
      </c>
      <c r="V6" s="103">
        <v>1596</v>
      </c>
    </row>
    <row r="7" spans="1:22" s="82" customFormat="1" ht="19.5" customHeight="1">
      <c r="A7" s="99">
        <v>5</v>
      </c>
      <c r="B7" s="100">
        <f t="shared" si="0"/>
        <v>9994</v>
      </c>
      <c r="C7" s="101">
        <v>2046</v>
      </c>
      <c r="D7" s="101">
        <v>24</v>
      </c>
      <c r="E7" s="101">
        <v>95</v>
      </c>
      <c r="F7" s="101"/>
      <c r="G7" s="101">
        <v>359</v>
      </c>
      <c r="H7" s="102">
        <v>180</v>
      </c>
      <c r="I7" s="101"/>
      <c r="J7" s="101"/>
      <c r="K7" s="101">
        <v>1200</v>
      </c>
      <c r="L7" s="101">
        <v>4000</v>
      </c>
      <c r="M7" s="101"/>
      <c r="N7" s="102">
        <v>19</v>
      </c>
      <c r="O7" s="101"/>
      <c r="P7" s="101">
        <v>21</v>
      </c>
      <c r="Q7" s="101"/>
      <c r="R7" s="101">
        <v>114</v>
      </c>
      <c r="S7" s="101"/>
      <c r="T7" s="101">
        <v>13</v>
      </c>
      <c r="U7" s="101">
        <v>75</v>
      </c>
      <c r="V7" s="103">
        <v>1848</v>
      </c>
    </row>
    <row r="8" spans="1:22" s="83" customFormat="1" ht="19.5" customHeight="1">
      <c r="A8" s="99">
        <v>6</v>
      </c>
      <c r="B8" s="100">
        <f t="shared" si="0"/>
        <v>5030</v>
      </c>
      <c r="C8" s="101">
        <v>1888</v>
      </c>
      <c r="D8" s="101">
        <v>19</v>
      </c>
      <c r="E8" s="101">
        <v>75</v>
      </c>
      <c r="F8" s="101">
        <v>280</v>
      </c>
      <c r="G8" s="101">
        <v>302</v>
      </c>
      <c r="H8" s="102"/>
      <c r="I8" s="101"/>
      <c r="J8" s="101"/>
      <c r="K8" s="101"/>
      <c r="L8" s="101">
        <v>1044</v>
      </c>
      <c r="M8" s="101"/>
      <c r="N8" s="102"/>
      <c r="O8" s="101"/>
      <c r="P8" s="101">
        <v>10</v>
      </c>
      <c r="Q8" s="101"/>
      <c r="R8" s="101">
        <v>95</v>
      </c>
      <c r="S8" s="101"/>
      <c r="T8" s="101">
        <v>6</v>
      </c>
      <c r="U8" s="101">
        <v>51</v>
      </c>
      <c r="V8" s="103">
        <v>1260</v>
      </c>
    </row>
    <row r="9" spans="1:22" s="83" customFormat="1" ht="19.5" customHeight="1">
      <c r="A9" s="84">
        <v>7</v>
      </c>
      <c r="B9" s="85" t="e">
        <f t="shared" si="0"/>
        <v>#REF!</v>
      </c>
      <c r="C9" s="86">
        <f>'AZ'!D4+'GM資產組'!D4+'GS事務組'!E4+'台北總務組'!E4+'蘭陽'!E4</f>
        <v>689</v>
      </c>
      <c r="D9" s="86">
        <f>'AZ'!E4+'GM資產組'!E4+'GS事務組'!F4+'台北總務組'!F4+'蘭陽'!F4</f>
        <v>0</v>
      </c>
      <c r="E9" s="86">
        <f>'AZ'!F4+'GM資產組'!F4+'GS事務組'!G4+'台北總務組'!G4+'蘭陽'!G4</f>
        <v>94.3</v>
      </c>
      <c r="F9" s="86">
        <f>'AZ'!G4+'GM資產組'!G4+'GS事務組'!H4+'台北總務組'!H4+'蘭陽'!H4</f>
        <v>0</v>
      </c>
      <c r="G9" s="86">
        <f>'AZ'!H4+'GM資產組'!H4+'GS事務組'!I4+'台北總務組'!I4+'蘭陽'!I4</f>
        <v>0</v>
      </c>
      <c r="H9" s="87">
        <f>'AZ'!I4+'GM資產組'!I4+'GS事務組'!J4+'台北總務組'!J4+'蘭陽'!J4</f>
        <v>290.546218487395</v>
      </c>
      <c r="I9" s="86">
        <f>'AZ'!J4+'GM資產組'!J4+'GS事務組'!K4+'台北總務組'!K4+'蘭陽'!K4</f>
        <v>27.9</v>
      </c>
      <c r="J9" s="86">
        <f>'AZ'!K4+'GM資產組'!K4+'GS事務組'!L4+'台北總務組'!L4+'蘭陽'!L4</f>
        <v>0</v>
      </c>
      <c r="K9" s="86">
        <f>'AZ'!L4+'GM資產組'!L4+'GS事務組'!M4+'台北總務組'!M4+'蘭陽'!M4</f>
        <v>4</v>
      </c>
      <c r="L9" s="86">
        <f>'AZ'!M4+'GM資產組'!M4+'GS事務組'!N4+'台北總務組'!N4+'蘭陽'!N4</f>
        <v>0</v>
      </c>
      <c r="M9" s="86">
        <f>'AZ'!N4+'GM資產組'!N4+'GS事務組'!O4+'台北總務組'!O4+'蘭陽'!O4</f>
        <v>0</v>
      </c>
      <c r="N9" s="87">
        <f>'AZ'!O4+'GM資產組'!O4+'GS事務組'!P4+'台北總務組'!P4+'蘭陽'!P4</f>
        <v>206.42</v>
      </c>
      <c r="O9" s="86">
        <f>'AZ'!P4+'GM資產組'!P4+'GS事務組'!Q4+'台北總務組'!Q4+'蘭陽'!Q4</f>
        <v>0</v>
      </c>
      <c r="P9" s="86">
        <f>'AZ'!Q4+'GM資產組'!Q4+'GS事務組'!R4+'台北總務組'!R4+'蘭陽'!R4</f>
        <v>5.4</v>
      </c>
      <c r="Q9" s="86">
        <f>'AZ'!R4+'GM資產組'!R4+'GS事務組'!S4+'台北總務組'!S4+'蘭陽'!S4</f>
        <v>0</v>
      </c>
      <c r="R9" s="86">
        <f>'AZ'!S4+'GM資產組'!S4+'GS事務組'!T4+'台北總務組'!T4+'蘭陽'!T4</f>
        <v>75</v>
      </c>
      <c r="S9" s="86">
        <f>'AZ'!T4+'GM資產組'!T4+'GS事務組'!U4+'台北總務組'!U4+'蘭陽'!U4</f>
        <v>0</v>
      </c>
      <c r="T9" s="86">
        <f>'AZ'!U4+'GM資產組'!U4+'GS事務組'!V4+'台北總務組'!V4+'蘭陽'!V4</f>
        <v>5</v>
      </c>
      <c r="U9" s="86">
        <f>'AZ'!V4+'GM資產組'!V4+'GS事務組'!W4+'台北總務組'!W4+'蘭陽'!W4</f>
        <v>35.75</v>
      </c>
      <c r="V9" s="88" t="e">
        <f>'AZ'!W4+'GM資產組'!W3+'GS事務組'!X4+台北總務組!#REF!+'蘭陽'!X4</f>
        <v>#REF!</v>
      </c>
    </row>
    <row r="10" spans="1:22" s="83" customFormat="1" ht="19.5" customHeight="1">
      <c r="A10" s="84">
        <v>8</v>
      </c>
      <c r="B10" s="85" t="e">
        <f t="shared" si="0"/>
        <v>#REF!</v>
      </c>
      <c r="C10" s="86">
        <f>'AZ'!D5+'GM資產組'!D5+'GS事務組'!E5+'台北總務組'!E5+'蘭陽'!E5</f>
        <v>2457</v>
      </c>
      <c r="D10" s="86">
        <f>'AZ'!E5+'GM資產組'!E5+'GS事務組'!F5+'台北總務組'!F5+'蘭陽'!F5</f>
        <v>0</v>
      </c>
      <c r="E10" s="86">
        <f>'AZ'!F5+'GM資產組'!F5+'GS事務組'!G5+'台北總務組'!G5+'蘭陽'!G5</f>
        <v>217.5</v>
      </c>
      <c r="F10" s="86">
        <f>'AZ'!G5+'GM資產組'!G5+'GS事務組'!H5+'台北總務組'!H5+'蘭陽'!H5</f>
        <v>0</v>
      </c>
      <c r="G10" s="86">
        <f>'AZ'!H5+'GM資產組'!H5+'GS事務組'!I5+'台北總務組'!I5+'蘭陽'!I5</f>
        <v>0</v>
      </c>
      <c r="H10" s="87">
        <f>'AZ'!I5+'GM資產組'!I5+'GS事務組'!J5+'台北總務組'!J5+'蘭陽'!J5</f>
        <v>306.2352941176471</v>
      </c>
      <c r="I10" s="86">
        <f>'AZ'!J5+'GM資產組'!J5+'GS事務組'!K5+'台北總務組'!K5+'蘭陽'!K5</f>
        <v>52.4</v>
      </c>
      <c r="J10" s="86">
        <f>'AZ'!K5+'GM資產組'!K5+'GS事務組'!L5+'台北總務組'!L5+'蘭陽'!L5</f>
        <v>0</v>
      </c>
      <c r="K10" s="86">
        <f>'AZ'!L5+'GM資產組'!L5+'GS事務組'!M5+'台北總務組'!M5+'蘭陽'!M5</f>
        <v>0</v>
      </c>
      <c r="L10" s="86">
        <f>'AZ'!M5+'GM資產組'!M5+'GS事務組'!N5+'台北總務組'!N5+'蘭陽'!N5</f>
        <v>0</v>
      </c>
      <c r="M10" s="86">
        <f>'AZ'!N5+'GM資產組'!N5+'GS事務組'!O5+'台北總務組'!O5+'蘭陽'!O5</f>
        <v>0</v>
      </c>
      <c r="N10" s="87">
        <f>'AZ'!O5+'GM資產組'!O5+'GS事務組'!P5+'台北總務組'!P5+'蘭陽'!P5</f>
        <v>211.66</v>
      </c>
      <c r="O10" s="86">
        <f>'AZ'!P5+'GM資產組'!P5+'GS事務組'!Q5+'台北總務組'!Q5+'蘭陽'!Q5</f>
        <v>0</v>
      </c>
      <c r="P10" s="86">
        <f>'AZ'!Q5+'GM資產組'!Q5+'GS事務組'!R5+'台北總務組'!R5+'蘭陽'!R5</f>
        <v>2.6</v>
      </c>
      <c r="Q10" s="86">
        <f>'AZ'!R5+'GM資產組'!R5+'GS事務組'!S5+'台北總務組'!S5+'蘭陽'!S5</f>
        <v>0</v>
      </c>
      <c r="R10" s="86">
        <f>'AZ'!S5+'GM資產組'!S5+'GS事務組'!T5+'台北總務組'!T5+'蘭陽'!T5</f>
        <v>23</v>
      </c>
      <c r="S10" s="86">
        <f>'AZ'!T5+'GM資產組'!T5+'GS事務組'!U5+'台北總務組'!U5+'蘭陽'!U5</f>
        <v>0</v>
      </c>
      <c r="T10" s="86">
        <f>'AZ'!U5+'GM資產組'!U5+'GS事務組'!V5+'台北總務組'!V5+'蘭陽'!V5</f>
        <v>0</v>
      </c>
      <c r="U10" s="86">
        <f>'AZ'!V5+'GM資產組'!V5+'GS事務組'!W5+'台北總務組'!W5+'蘭陽'!W5</f>
        <v>1.5</v>
      </c>
      <c r="V10" s="88" t="e">
        <f>'AZ'!W5+'GM資產組'!W4+'GS事務組'!X5+台北總務組!#REF!+'蘭陽'!X5</f>
        <v>#REF!</v>
      </c>
    </row>
    <row r="11" spans="1:22" s="83" customFormat="1" ht="19.5" customHeight="1">
      <c r="A11" s="84">
        <v>9</v>
      </c>
      <c r="B11" s="85" t="e">
        <f t="shared" si="0"/>
        <v>#REF!</v>
      </c>
      <c r="C11" s="86">
        <f>'AZ'!D6+'GM資產組'!D6+'GS事務組'!E6+'台北總務組'!E6+'蘭陽'!E6</f>
        <v>3318</v>
      </c>
      <c r="D11" s="86">
        <f>'AZ'!E6+'GM資產組'!E6+'GS事務組'!F6+'台北總務組'!F6+'蘭陽'!F6</f>
        <v>0</v>
      </c>
      <c r="E11" s="86">
        <f>'AZ'!F6+'GM資產組'!F6+'GS事務組'!G6+'台北總務組'!G6+'蘭陽'!G6</f>
        <v>410.54</v>
      </c>
      <c r="F11" s="86">
        <f>'AZ'!G6+'GM資產組'!G6+'GS事務組'!H6+'台北總務組'!H6+'蘭陽'!H6</f>
        <v>2000</v>
      </c>
      <c r="G11" s="86">
        <f>'AZ'!H6+'GM資產組'!H6+'GS事務組'!I6+'台北總務組'!I6+'蘭陽'!I6</f>
        <v>0</v>
      </c>
      <c r="H11" s="87">
        <f>'AZ'!I6+'GM資產組'!I6+'GS事務組'!J6+'台北總務組'!J6+'蘭陽'!J6</f>
        <v>525.6974789915967</v>
      </c>
      <c r="I11" s="86">
        <f>'AZ'!J6+'GM資產組'!J6+'GS事務組'!K6+'台北總務組'!K6+'蘭陽'!K6</f>
        <v>62.6</v>
      </c>
      <c r="J11" s="86">
        <f>'AZ'!K6+'GM資產組'!K6+'GS事務組'!L6+'台北總務組'!L6+'蘭陽'!L6</f>
        <v>0</v>
      </c>
      <c r="K11" s="86">
        <f>'AZ'!L6+'GM資產組'!L6+'GS事務組'!M6+'台北總務組'!M6+'蘭陽'!M6</f>
        <v>281</v>
      </c>
      <c r="L11" s="86">
        <f>'AZ'!M6+'GM資產組'!M6+'GS事務組'!N6+'台北總務組'!N6+'蘭陽'!N6</f>
        <v>2111</v>
      </c>
      <c r="M11" s="86">
        <f>'AZ'!N6+'GM資產組'!N6+'GS事務組'!O6+'台北總務組'!O6+'蘭陽'!O6</f>
        <v>0</v>
      </c>
      <c r="N11" s="87">
        <f>'AZ'!O6+'GM資產組'!O6+'GS事務組'!P6+'台北總務組'!P6+'蘭陽'!P6</f>
        <v>476.26</v>
      </c>
      <c r="O11" s="86">
        <f>'AZ'!P6+'GM資產組'!P6+'GS事務組'!Q6+'台北總務組'!Q6+'蘭陽'!Q6</f>
        <v>0</v>
      </c>
      <c r="P11" s="86">
        <f>'AZ'!Q6+'GM資產組'!Q6+'GS事務組'!R6+'台北總務組'!R6+'蘭陽'!R6</f>
        <v>4.6</v>
      </c>
      <c r="Q11" s="86">
        <f>'AZ'!R6+'GM資產組'!R6+'GS事務組'!S6+'台北總務組'!S6+'蘭陽'!S6</f>
        <v>16</v>
      </c>
      <c r="R11" s="86">
        <f>'AZ'!S6+'GM資產組'!S6+'GS事務組'!T6+'台北總務組'!T6+'蘭陽'!T6</f>
        <v>69</v>
      </c>
      <c r="S11" s="86">
        <f>'AZ'!T6+'GM資產組'!T6+'GS事務組'!U6+'台北總務組'!U6+'蘭陽'!U6</f>
        <v>0</v>
      </c>
      <c r="T11" s="86">
        <f>'AZ'!U6+'GM資產組'!U6+'GS事務組'!V6+'台北總務組'!V6+'蘭陽'!V6</f>
        <v>4</v>
      </c>
      <c r="U11" s="86">
        <f>'AZ'!V6+'GM資產組'!V6+'GS事務組'!W6+'台北總務組'!W6+'蘭陽'!W6</f>
        <v>36</v>
      </c>
      <c r="V11" s="88" t="e">
        <f>'AZ'!W6+'GM資產組'!W5+'GS事務組'!X6+台北總務組!#REF!+'蘭陽'!X6</f>
        <v>#REF!</v>
      </c>
    </row>
    <row r="12" spans="1:22" s="83" customFormat="1" ht="19.5" customHeight="1">
      <c r="A12" s="84">
        <v>10</v>
      </c>
      <c r="B12" s="85" t="e">
        <f t="shared" si="0"/>
        <v>#REF!</v>
      </c>
      <c r="C12" s="86">
        <f>'AZ'!D7+'GM資產組'!D7+'GS事務組'!E7+'台北總務組'!E7+'蘭陽'!E7</f>
        <v>2724</v>
      </c>
      <c r="D12" s="86">
        <f>'AZ'!E7+'GM資產組'!E7+'GS事務組'!F7+'台北總務組'!F7+'蘭陽'!F7</f>
        <v>0</v>
      </c>
      <c r="E12" s="86">
        <f>'AZ'!F7+'GM資產組'!F7+'GS事務組'!G7+'台北總務組'!G7+'蘭陽'!G7</f>
        <v>410.2</v>
      </c>
      <c r="F12" s="86">
        <f>'AZ'!G7+'GM資產組'!G7+'GS事務組'!H7+'台北總務組'!H7+'蘭陽'!H7</f>
        <v>200</v>
      </c>
      <c r="G12" s="86">
        <f>'AZ'!H7+'GM資產組'!H7+'GS事務組'!I7+'台北總務組'!I7+'蘭陽'!I7</f>
        <v>0</v>
      </c>
      <c r="H12" s="87">
        <f>'AZ'!I7+'GM資產組'!I7+'GS事務組'!J7+'台北總務組'!J7+'蘭陽'!J7</f>
        <v>566.3613445378151</v>
      </c>
      <c r="I12" s="86">
        <f>'AZ'!J7+'GM資產組'!J7+'GS事務組'!K7+'台北總務組'!K7+'蘭陽'!K7</f>
        <v>185.5</v>
      </c>
      <c r="J12" s="86">
        <f>'AZ'!K7+'GM資產組'!K7+'GS事務組'!L7+'台北總務組'!L7+'蘭陽'!L7</f>
        <v>0</v>
      </c>
      <c r="K12" s="86">
        <f>'AZ'!L7+'GM資產組'!L7+'GS事務組'!M7+'台北總務組'!M7+'蘭陽'!M7</f>
        <v>623</v>
      </c>
      <c r="L12" s="86">
        <f>'AZ'!M7+'GM資產組'!M7+'GS事務組'!N7+'台北總務組'!N7+'蘭陽'!N7</f>
        <v>2808</v>
      </c>
      <c r="M12" s="86">
        <f>'AZ'!N7+'GM資產組'!N7+'GS事務組'!O7+'台北總務組'!O7+'蘭陽'!O7</f>
        <v>0</v>
      </c>
      <c r="N12" s="87">
        <f>'AZ'!O7+'GM資產組'!O7+'GS事務組'!P7+'台北總務組'!P7+'蘭陽'!P7</f>
        <v>550</v>
      </c>
      <c r="O12" s="86">
        <f>'AZ'!P7+'GM資產組'!P7+'GS事務組'!Q7+'台北總務組'!Q7+'蘭陽'!Q7</f>
        <v>0</v>
      </c>
      <c r="P12" s="86">
        <f>'AZ'!Q7+'GM資產組'!Q7+'GS事務組'!R7+'台北總務組'!R7+'蘭陽'!R7</f>
        <v>24.2</v>
      </c>
      <c r="Q12" s="86">
        <f>'AZ'!R7+'GM資產組'!R7+'GS事務組'!S7+'台北總務組'!S7+'蘭陽'!S7</f>
        <v>0</v>
      </c>
      <c r="R12" s="86">
        <f>'AZ'!S7+'GM資產組'!S7+'GS事務組'!T7+'台北總務組'!T7+'蘭陽'!T7</f>
        <v>76</v>
      </c>
      <c r="S12" s="86">
        <f>'AZ'!T7+'GM資產組'!T7+'GS事務組'!U7+'台北總務組'!U7+'蘭陽'!U7</f>
        <v>2</v>
      </c>
      <c r="T12" s="86">
        <f>'AZ'!U7+'GM資產組'!U7+'GS事務組'!V7+'台北總務組'!V7+'蘭陽'!V7</f>
        <v>7.5</v>
      </c>
      <c r="U12" s="86">
        <f>'AZ'!V7+'GM資產組'!V7+'GS事務組'!W7+'台北總務組'!W7+'蘭陽'!W7</f>
        <v>113.75</v>
      </c>
      <c r="V12" s="88" t="e">
        <f>'AZ'!W7+'GM資產組'!W6+'GS事務組'!X7+台北總務組!#REF!+'蘭陽'!X7</f>
        <v>#REF!</v>
      </c>
    </row>
    <row r="13" spans="1:22" s="83" customFormat="1" ht="19.5" customHeight="1">
      <c r="A13" s="84">
        <v>11</v>
      </c>
      <c r="B13" s="85" t="e">
        <f t="shared" si="0"/>
        <v>#REF!</v>
      </c>
      <c r="C13" s="86">
        <f>'AZ'!D8+'GM資產組'!D8+'GS事務組'!E8+'台北總務組'!E8+'蘭陽'!E8</f>
        <v>2416</v>
      </c>
      <c r="D13" s="86">
        <f>'AZ'!E8+'GM資產組'!E8+'GS事務組'!F8+'台北總務組'!F8+'蘭陽'!F8</f>
        <v>0</v>
      </c>
      <c r="E13" s="86">
        <f>'AZ'!F8+'GM資產組'!F8+'GS事務組'!G8+'台北總務組'!G8+'蘭陽'!G8</f>
        <v>389.5</v>
      </c>
      <c r="F13" s="86">
        <f>'AZ'!G8+'GM資產組'!G8+'GS事務組'!H8+'台北總務組'!H8+'蘭陽'!H8</f>
        <v>100</v>
      </c>
      <c r="G13" s="86">
        <f>'AZ'!H8+'GM資產組'!H8+'GS事務組'!I8+'台北總務組'!I8+'蘭陽'!I8</f>
        <v>0</v>
      </c>
      <c r="H13" s="87">
        <f>'AZ'!I8+'GM資產組'!I8+'GS事務組'!J8+'台北總務組'!J8+'蘭陽'!J8</f>
        <v>502.1764705882353</v>
      </c>
      <c r="I13" s="86">
        <f>'AZ'!J8+'GM資產組'!J8+'GS事務組'!K8+'台北總務組'!K8+'蘭陽'!K8</f>
        <v>181.8</v>
      </c>
      <c r="J13" s="86">
        <f>'AZ'!K8+'GM資產組'!K8+'GS事務組'!L8+'台北總務組'!L8+'蘭陽'!L8</f>
        <v>0</v>
      </c>
      <c r="K13" s="86">
        <f>'AZ'!L8+'GM資產組'!L8+'GS事務組'!M8+'台北總務組'!M8+'蘭陽'!M8</f>
        <v>2</v>
      </c>
      <c r="L13" s="86">
        <f>'AZ'!M8+'GM資產組'!M8+'GS事務組'!N8+'台北總務組'!N8+'蘭陽'!N8</f>
        <v>1700</v>
      </c>
      <c r="M13" s="86">
        <f>'AZ'!N8+'GM資產組'!N8+'GS事務組'!O8+'台北總務組'!O8+'蘭陽'!O8</f>
        <v>0</v>
      </c>
      <c r="N13" s="87">
        <f>'AZ'!O8+'GM資產組'!O8+'GS事務組'!P8+'台北總務組'!P8+'蘭陽'!P8</f>
        <v>1666</v>
      </c>
      <c r="O13" s="86">
        <f>'AZ'!P8+'GM資產組'!P8+'GS事務組'!Q8+'台北總務組'!Q8+'蘭陽'!Q8</f>
        <v>0</v>
      </c>
      <c r="P13" s="86">
        <f>'AZ'!Q8+'GM資產組'!Q8+'GS事務組'!R8+'台北總務組'!R8+'蘭陽'!R8</f>
        <v>10.6</v>
      </c>
      <c r="Q13" s="86">
        <f>'AZ'!R8+'GM資產組'!R8+'GS事務組'!S8+'台北總務組'!S8+'蘭陽'!S8</f>
        <v>1</v>
      </c>
      <c r="R13" s="86">
        <f>'AZ'!S8+'GM資產組'!S8+'GS事務組'!T8+'台北總務組'!T8+'蘭陽'!T8</f>
        <v>170</v>
      </c>
      <c r="S13" s="86">
        <f>'AZ'!T8+'GM資產組'!T8+'GS事務組'!U8+'台北總務組'!U8+'蘭陽'!U8</f>
        <v>1.1</v>
      </c>
      <c r="T13" s="86">
        <f>'AZ'!U8+'GM資產組'!U8+'GS事務組'!V8+'台北總務組'!V8+'蘭陽'!V8</f>
        <v>3</v>
      </c>
      <c r="U13" s="86">
        <f>'AZ'!V8+'GM資產組'!V8+'GS事務組'!W8+'台北總務組'!W8+'蘭陽'!W8</f>
        <v>73</v>
      </c>
      <c r="V13" s="88" t="e">
        <f>'AZ'!W8+'GM資產組'!W7+'GS事務組'!X8+台北總務組!#REF!+'蘭陽'!X8</f>
        <v>#REF!</v>
      </c>
    </row>
    <row r="14" spans="1:22" s="83" customFormat="1" ht="19.5" customHeight="1" thickBot="1">
      <c r="A14" s="89">
        <v>12</v>
      </c>
      <c r="B14" s="90" t="e">
        <f t="shared" si="0"/>
        <v>#REF!</v>
      </c>
      <c r="C14" s="91">
        <f>'AZ'!D9+'GM資產組'!D9+'GS事務組'!E9+'台北總務組'!E9+'蘭陽'!E9</f>
        <v>3148</v>
      </c>
      <c r="D14" s="91">
        <f>'AZ'!E9+'GM資產組'!E9+'GS事務組'!F9+'台北總務組'!F9+'蘭陽'!F9</f>
        <v>0</v>
      </c>
      <c r="E14" s="91">
        <f>'AZ'!F9+'GM資產組'!F9+'GS事務組'!G9+'台北總務組'!G9+'蘭陽'!G9</f>
        <v>417.8</v>
      </c>
      <c r="F14" s="91">
        <f>'AZ'!G9+'GM資產組'!G9+'GS事務組'!H9+'台北總務組'!H9+'蘭陽'!H9</f>
        <v>500</v>
      </c>
      <c r="G14" s="91">
        <f>'AZ'!H9+'GM資產組'!H9+'GS事務組'!I9+'台北總務組'!I9+'蘭陽'!I9</f>
        <v>0</v>
      </c>
      <c r="H14" s="92">
        <f>'AZ'!I9+'GM資產組'!I9+'GS事務組'!J9+'台北總務組'!J9+'蘭陽'!J9</f>
        <v>484.1848739495798</v>
      </c>
      <c r="I14" s="91">
        <f>'AZ'!J9+'GM資產組'!J9+'GS事務組'!K9+'台北總務組'!K9+'蘭陽'!K9</f>
        <v>234</v>
      </c>
      <c r="J14" s="91">
        <f>'AZ'!K9+'GM資產組'!K9+'GS事務組'!L9+'台北總務組'!L9+'蘭陽'!L9</f>
        <v>0</v>
      </c>
      <c r="K14" s="91">
        <f>'AZ'!L9+'GM資產組'!L9+'GS事務組'!M9+'台北總務組'!M9+'蘭陽'!M9</f>
        <v>50</v>
      </c>
      <c r="L14" s="91">
        <f>'AZ'!M9+'GM資產組'!M9+'GS事務組'!N9+'台北總務組'!N9+'蘭陽'!N9</f>
        <v>1316</v>
      </c>
      <c r="M14" s="91">
        <f>'AZ'!N9+'GM資產組'!N9+'GS事務組'!O9+'台北總務組'!O9+'蘭陽'!O9</f>
        <v>0</v>
      </c>
      <c r="N14" s="92">
        <f>'AZ'!O9+'GM資產組'!O9+'GS事務組'!P9+'台北總務組'!P9+'蘭陽'!P9</f>
        <v>414</v>
      </c>
      <c r="O14" s="91">
        <f>'AZ'!P9+'GM資產組'!P9+'GS事務組'!Q9+'台北總務組'!Q9+'蘭陽'!Q9</f>
        <v>0</v>
      </c>
      <c r="P14" s="91">
        <f>'AZ'!Q9+'GM資產組'!Q9+'GS事務組'!R9+'台北總務組'!R9+'蘭陽'!R9</f>
        <v>7.5</v>
      </c>
      <c r="Q14" s="91">
        <f>'AZ'!R9+'GM資產組'!R9+'GS事務組'!S9+'台北總務組'!S9+'蘭陽'!S9</f>
        <v>0</v>
      </c>
      <c r="R14" s="91">
        <f>'AZ'!S9+'GM資產組'!S9+'GS事務組'!T9+'台北總務組'!T9+'蘭陽'!T9</f>
        <v>116</v>
      </c>
      <c r="S14" s="91">
        <f>'AZ'!T9+'GM資產組'!T9+'GS事務組'!U9+'台北總務組'!U9+'蘭陽'!U9</f>
        <v>0.9</v>
      </c>
      <c r="T14" s="91">
        <f>'AZ'!U9+'GM資產組'!U9+'GS事務組'!V9+'台北總務組'!V9+'蘭陽'!V9</f>
        <v>8</v>
      </c>
      <c r="U14" s="91">
        <f>'AZ'!V9+'GM資產組'!V9+'GS事務組'!W9+'台北總務組'!W9+'蘭陽'!W9</f>
        <v>166</v>
      </c>
      <c r="V14" s="93" t="e">
        <f>'AZ'!W9+'GM資產組'!W8+'GS事務組'!X9+台北總務組!#REF!+'蘭陽'!X9</f>
        <v>#REF!</v>
      </c>
    </row>
    <row r="15" spans="1:22" s="82" customFormat="1" ht="30" customHeight="1" thickTop="1">
      <c r="A15" s="94" t="s">
        <v>51</v>
      </c>
      <c r="B15" s="95" t="e">
        <f>SUM(B3:B14)</f>
        <v>#REF!</v>
      </c>
      <c r="C15" s="95">
        <f aca="true" t="shared" si="1" ref="C15:V15">SUM(C3:C14)</f>
        <v>24123</v>
      </c>
      <c r="D15" s="95">
        <f t="shared" si="1"/>
        <v>88</v>
      </c>
      <c r="E15" s="95">
        <f t="shared" si="1"/>
        <v>2284.84</v>
      </c>
      <c r="F15" s="95">
        <f t="shared" si="1"/>
        <v>3665</v>
      </c>
      <c r="G15" s="95">
        <f t="shared" si="1"/>
        <v>1193</v>
      </c>
      <c r="H15" s="96">
        <f t="shared" si="1"/>
        <v>3160.2016806722686</v>
      </c>
      <c r="I15" s="95">
        <f t="shared" si="1"/>
        <v>744.2</v>
      </c>
      <c r="J15" s="95">
        <f t="shared" si="1"/>
        <v>0</v>
      </c>
      <c r="K15" s="95">
        <f t="shared" si="1"/>
        <v>2374.5</v>
      </c>
      <c r="L15" s="95">
        <f t="shared" si="1"/>
        <v>15836</v>
      </c>
      <c r="M15" s="95">
        <f t="shared" si="1"/>
        <v>0</v>
      </c>
      <c r="N15" s="96">
        <f t="shared" si="1"/>
        <v>3571.34</v>
      </c>
      <c r="O15" s="95">
        <f t="shared" si="1"/>
        <v>0</v>
      </c>
      <c r="P15" s="95">
        <f t="shared" si="1"/>
        <v>123.89999999999999</v>
      </c>
      <c r="Q15" s="95">
        <f t="shared" si="1"/>
        <v>17</v>
      </c>
      <c r="R15" s="95">
        <f t="shared" si="1"/>
        <v>1198</v>
      </c>
      <c r="S15" s="95">
        <f t="shared" si="1"/>
        <v>4</v>
      </c>
      <c r="T15" s="95">
        <f t="shared" si="1"/>
        <v>74.5</v>
      </c>
      <c r="U15" s="95">
        <f t="shared" si="1"/>
        <v>727.5</v>
      </c>
      <c r="V15" s="97" t="e">
        <f t="shared" si="1"/>
        <v>#REF!</v>
      </c>
    </row>
    <row r="16" spans="1:22" s="82" customFormat="1" ht="30" customHeight="1" thickBot="1">
      <c r="A16" s="47" t="s">
        <v>52</v>
      </c>
      <c r="B16" s="98" t="e">
        <f>B15/12</f>
        <v>#REF!</v>
      </c>
      <c r="C16" s="98">
        <f aca="true" t="shared" si="2" ref="C16:V16">C15/12</f>
        <v>2010.25</v>
      </c>
      <c r="D16" s="98">
        <f t="shared" si="2"/>
        <v>7.333333333333333</v>
      </c>
      <c r="E16" s="98">
        <f t="shared" si="2"/>
        <v>190.40333333333334</v>
      </c>
      <c r="F16" s="98">
        <f t="shared" si="2"/>
        <v>305.4166666666667</v>
      </c>
      <c r="G16" s="98">
        <f t="shared" si="2"/>
        <v>99.41666666666667</v>
      </c>
      <c r="H16" s="98">
        <f t="shared" si="2"/>
        <v>263.3501400560224</v>
      </c>
      <c r="I16" s="98">
        <f t="shared" si="2"/>
        <v>62.01666666666667</v>
      </c>
      <c r="J16" s="98">
        <f t="shared" si="2"/>
        <v>0</v>
      </c>
      <c r="K16" s="98">
        <f t="shared" si="2"/>
        <v>197.875</v>
      </c>
      <c r="L16" s="98">
        <f t="shared" si="2"/>
        <v>1319.6666666666667</v>
      </c>
      <c r="M16" s="98">
        <f t="shared" si="2"/>
        <v>0</v>
      </c>
      <c r="N16" s="98">
        <f t="shared" si="2"/>
        <v>297.6116666666667</v>
      </c>
      <c r="O16" s="98">
        <f t="shared" si="2"/>
        <v>0</v>
      </c>
      <c r="P16" s="98">
        <f t="shared" si="2"/>
        <v>10.325</v>
      </c>
      <c r="Q16" s="98">
        <f t="shared" si="2"/>
        <v>1.4166666666666667</v>
      </c>
      <c r="R16" s="98">
        <f t="shared" si="2"/>
        <v>99.83333333333333</v>
      </c>
      <c r="S16" s="98">
        <f t="shared" si="2"/>
        <v>0.3333333333333333</v>
      </c>
      <c r="T16" s="98">
        <f t="shared" si="2"/>
        <v>6.208333333333333</v>
      </c>
      <c r="U16" s="98">
        <f t="shared" si="2"/>
        <v>60.625</v>
      </c>
      <c r="V16" s="104" t="e">
        <f t="shared" si="2"/>
        <v>#REF!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B1:X177"/>
  <sheetViews>
    <sheetView zoomScalePageLayoutView="0" workbookViewId="0" topLeftCell="A1">
      <pane ySplit="2" topLeftCell="A145" activePane="bottomLeft" state="frozen"/>
      <selection pane="topLeft" activeCell="A1" sqref="A1"/>
      <selection pane="bottomLeft" activeCell="L160" sqref="L160"/>
    </sheetView>
  </sheetViews>
  <sheetFormatPr defaultColWidth="8.875" defaultRowHeight="16.5"/>
  <cols>
    <col min="1" max="1" width="2.625" style="4" customWidth="1"/>
    <col min="2" max="2" width="4.125" style="4" customWidth="1"/>
    <col min="3" max="3" width="5.75390625" style="4" customWidth="1"/>
    <col min="4" max="4" width="6.75390625" style="241" customWidth="1"/>
    <col min="5" max="23" width="5.75390625" style="241" customWidth="1"/>
    <col min="24" max="24" width="5.75390625" style="4" customWidth="1"/>
    <col min="25" max="16384" width="8.875" style="4" customWidth="1"/>
  </cols>
  <sheetData>
    <row r="1" spans="4:23" s="69" customFormat="1" ht="11.25" thickBot="1">
      <c r="D1" s="207">
        <v>1</v>
      </c>
      <c r="E1" s="207">
        <v>2</v>
      </c>
      <c r="F1" s="207">
        <v>3</v>
      </c>
      <c r="G1" s="207">
        <v>4</v>
      </c>
      <c r="H1" s="207">
        <v>5</v>
      </c>
      <c r="I1" s="207">
        <v>6</v>
      </c>
      <c r="J1" s="207">
        <v>7</v>
      </c>
      <c r="K1" s="207">
        <v>8</v>
      </c>
      <c r="L1" s="207">
        <v>9</v>
      </c>
      <c r="M1" s="207">
        <v>0</v>
      </c>
      <c r="N1" s="207">
        <v>1</v>
      </c>
      <c r="O1" s="207">
        <v>2</v>
      </c>
      <c r="P1" s="207">
        <v>3</v>
      </c>
      <c r="Q1" s="207">
        <v>4</v>
      </c>
      <c r="R1" s="207">
        <v>5</v>
      </c>
      <c r="S1" s="207">
        <v>6</v>
      </c>
      <c r="T1" s="207">
        <v>7</v>
      </c>
      <c r="U1" s="207">
        <v>8</v>
      </c>
      <c r="V1" s="207">
        <v>9</v>
      </c>
      <c r="W1" s="207">
        <v>0</v>
      </c>
    </row>
    <row r="2" spans="2:24" ht="63.75" thickTop="1">
      <c r="B2" s="4" t="s">
        <v>56</v>
      </c>
      <c r="C2" s="23" t="s">
        <v>46</v>
      </c>
      <c r="D2" s="24" t="s">
        <v>32</v>
      </c>
      <c r="E2" s="25" t="s">
        <v>44</v>
      </c>
      <c r="F2" s="25" t="s">
        <v>43</v>
      </c>
      <c r="G2" s="25" t="s">
        <v>42</v>
      </c>
      <c r="H2" s="26" t="s">
        <v>5</v>
      </c>
      <c r="I2" s="27" t="s">
        <v>36</v>
      </c>
      <c r="J2" s="27" t="s">
        <v>7</v>
      </c>
      <c r="K2" s="27" t="s">
        <v>8</v>
      </c>
      <c r="L2" s="27" t="s">
        <v>38</v>
      </c>
      <c r="M2" s="25" t="s">
        <v>39</v>
      </c>
      <c r="N2" s="25" t="s">
        <v>40</v>
      </c>
      <c r="O2" s="27" t="s">
        <v>41</v>
      </c>
      <c r="P2" s="25" t="s">
        <v>33</v>
      </c>
      <c r="Q2" s="25" t="s">
        <v>34</v>
      </c>
      <c r="R2" s="25" t="s">
        <v>35</v>
      </c>
      <c r="S2" s="27" t="s">
        <v>16</v>
      </c>
      <c r="T2" s="28" t="s">
        <v>37</v>
      </c>
      <c r="U2" s="25" t="s">
        <v>17</v>
      </c>
      <c r="V2" s="28" t="s">
        <v>28</v>
      </c>
      <c r="W2" s="29" t="s">
        <v>45</v>
      </c>
      <c r="X2" s="67" t="s">
        <v>49</v>
      </c>
    </row>
    <row r="3" spans="2:24" s="209" customFormat="1" ht="19.5" customHeight="1" hidden="1">
      <c r="B3" s="209" t="s">
        <v>58</v>
      </c>
      <c r="C3" s="70">
        <v>6</v>
      </c>
      <c r="D3" s="20">
        <f>SUM(E3:W3)</f>
        <v>0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2"/>
      <c r="X3" s="255"/>
    </row>
    <row r="4" spans="3:24" s="212" customFormat="1" ht="19.5" customHeight="1" hidden="1">
      <c r="C4" s="71">
        <v>7</v>
      </c>
      <c r="D4" s="20">
        <f>SUM(E4:W4)</f>
        <v>201</v>
      </c>
      <c r="E4" s="215">
        <v>124</v>
      </c>
      <c r="F4" s="215"/>
      <c r="G4" s="215">
        <v>17</v>
      </c>
      <c r="H4" s="215"/>
      <c r="I4" s="215"/>
      <c r="J4" s="215">
        <v>34</v>
      </c>
      <c r="K4" s="215">
        <v>26</v>
      </c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6"/>
      <c r="X4" s="256">
        <v>190</v>
      </c>
    </row>
    <row r="5" spans="3:24" s="212" customFormat="1" ht="19.5" customHeight="1" hidden="1">
      <c r="C5" s="71">
        <v>8</v>
      </c>
      <c r="D5" s="18">
        <f aca="true" t="shared" si="0" ref="D5:D17">SUM(E5:W5)</f>
        <v>1022</v>
      </c>
      <c r="E5" s="215">
        <v>897</v>
      </c>
      <c r="F5" s="215"/>
      <c r="G5" s="215">
        <v>17</v>
      </c>
      <c r="H5" s="215"/>
      <c r="I5" s="215"/>
      <c r="J5" s="215">
        <v>56</v>
      </c>
      <c r="K5" s="215">
        <v>52</v>
      </c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6"/>
      <c r="X5" s="256">
        <v>113</v>
      </c>
    </row>
    <row r="6" spans="3:24" s="212" customFormat="1" ht="19.5" customHeight="1" hidden="1">
      <c r="C6" s="71">
        <v>9</v>
      </c>
      <c r="D6" s="18">
        <f t="shared" si="0"/>
        <v>1607</v>
      </c>
      <c r="E6" s="215">
        <v>1323</v>
      </c>
      <c r="F6" s="215"/>
      <c r="G6" s="215">
        <v>96</v>
      </c>
      <c r="H6" s="215"/>
      <c r="I6" s="215"/>
      <c r="J6" s="215">
        <v>126</v>
      </c>
      <c r="K6" s="215">
        <v>62</v>
      </c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6"/>
      <c r="X6" s="256">
        <v>554</v>
      </c>
    </row>
    <row r="7" spans="3:24" s="212" customFormat="1" ht="19.5" customHeight="1" hidden="1">
      <c r="C7" s="71">
        <v>10</v>
      </c>
      <c r="D7" s="18">
        <f t="shared" si="0"/>
        <v>1059</v>
      </c>
      <c r="E7" s="215">
        <v>639</v>
      </c>
      <c r="F7" s="215"/>
      <c r="G7" s="215">
        <v>70</v>
      </c>
      <c r="H7" s="215"/>
      <c r="I7" s="215"/>
      <c r="J7" s="215">
        <v>169</v>
      </c>
      <c r="K7" s="215">
        <v>181</v>
      </c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6"/>
      <c r="X7" s="256">
        <v>615</v>
      </c>
    </row>
    <row r="8" spans="3:24" s="212" customFormat="1" ht="19.5" customHeight="1" hidden="1">
      <c r="C8" s="71">
        <v>11</v>
      </c>
      <c r="D8" s="18">
        <f t="shared" si="0"/>
        <v>671</v>
      </c>
      <c r="E8" s="215">
        <v>373</v>
      </c>
      <c r="F8" s="215"/>
      <c r="G8" s="215">
        <v>33</v>
      </c>
      <c r="H8" s="215"/>
      <c r="I8" s="215"/>
      <c r="J8" s="215">
        <v>89</v>
      </c>
      <c r="K8" s="215">
        <v>176</v>
      </c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6"/>
      <c r="X8" s="256">
        <v>814</v>
      </c>
    </row>
    <row r="9" spans="3:24" s="212" customFormat="1" ht="19.5" customHeight="1" hidden="1">
      <c r="C9" s="71">
        <v>12</v>
      </c>
      <c r="D9" s="18">
        <f t="shared" si="0"/>
        <v>679</v>
      </c>
      <c r="E9" s="215">
        <v>382</v>
      </c>
      <c r="F9" s="215"/>
      <c r="G9" s="215">
        <v>22</v>
      </c>
      <c r="H9" s="215"/>
      <c r="I9" s="215"/>
      <c r="J9" s="215">
        <v>51</v>
      </c>
      <c r="K9" s="215">
        <v>224</v>
      </c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6"/>
      <c r="X9" s="256">
        <v>855</v>
      </c>
    </row>
    <row r="10" spans="2:24" s="212" customFormat="1" ht="19.5" customHeight="1" hidden="1">
      <c r="B10" s="212" t="s">
        <v>57</v>
      </c>
      <c r="C10" s="71">
        <v>1</v>
      </c>
      <c r="D10" s="18">
        <f t="shared" si="0"/>
        <v>815</v>
      </c>
      <c r="E10" s="215">
        <v>279</v>
      </c>
      <c r="F10" s="215"/>
      <c r="G10" s="215">
        <v>19</v>
      </c>
      <c r="H10" s="215"/>
      <c r="I10" s="215"/>
      <c r="J10" s="215">
        <v>65</v>
      </c>
      <c r="K10" s="215">
        <v>452</v>
      </c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6"/>
      <c r="X10" s="256">
        <v>694</v>
      </c>
    </row>
    <row r="11" spans="3:24" s="212" customFormat="1" ht="19.5" customHeight="1" hidden="1">
      <c r="C11" s="71">
        <v>2</v>
      </c>
      <c r="D11" s="18">
        <f t="shared" si="0"/>
        <v>345</v>
      </c>
      <c r="E11" s="215">
        <v>224</v>
      </c>
      <c r="F11" s="215"/>
      <c r="G11" s="215">
        <v>2</v>
      </c>
      <c r="H11" s="215"/>
      <c r="I11" s="215"/>
      <c r="J11" s="215">
        <v>15</v>
      </c>
      <c r="K11" s="215">
        <v>104</v>
      </c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6"/>
      <c r="X11" s="256">
        <v>269</v>
      </c>
    </row>
    <row r="12" spans="3:24" s="212" customFormat="1" ht="19.5" customHeight="1" hidden="1">
      <c r="C12" s="71">
        <v>3</v>
      </c>
      <c r="D12" s="18">
        <f t="shared" si="0"/>
        <v>339</v>
      </c>
      <c r="E12" s="215">
        <v>149</v>
      </c>
      <c r="F12" s="215"/>
      <c r="G12" s="215">
        <v>5</v>
      </c>
      <c r="H12" s="215"/>
      <c r="I12" s="215"/>
      <c r="J12" s="215">
        <v>77</v>
      </c>
      <c r="K12" s="215">
        <v>108</v>
      </c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6"/>
      <c r="X12" s="256">
        <v>627</v>
      </c>
    </row>
    <row r="13" spans="3:24" s="217" customFormat="1" ht="19.5" customHeight="1" hidden="1">
      <c r="C13" s="108">
        <v>4</v>
      </c>
      <c r="D13" s="79">
        <f t="shared" si="0"/>
        <v>664</v>
      </c>
      <c r="E13" s="220">
        <v>215</v>
      </c>
      <c r="F13" s="220"/>
      <c r="G13" s="220">
        <v>9</v>
      </c>
      <c r="H13" s="220"/>
      <c r="I13" s="220"/>
      <c r="J13" s="220">
        <v>119</v>
      </c>
      <c r="K13" s="220">
        <v>321</v>
      </c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1"/>
      <c r="X13" s="257">
        <v>777</v>
      </c>
    </row>
    <row r="14" spans="3:24" ht="19.5" customHeight="1" hidden="1">
      <c r="C14" s="72">
        <v>5</v>
      </c>
      <c r="D14" s="11">
        <f t="shared" si="0"/>
        <v>255.3</v>
      </c>
      <c r="E14" s="215">
        <v>4.3</v>
      </c>
      <c r="F14" s="215"/>
      <c r="G14" s="215">
        <v>11</v>
      </c>
      <c r="H14" s="215"/>
      <c r="I14" s="215"/>
      <c r="J14" s="215">
        <v>87</v>
      </c>
      <c r="K14" s="215">
        <v>153</v>
      </c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6"/>
      <c r="X14" s="258">
        <v>786</v>
      </c>
    </row>
    <row r="15" spans="3:24" ht="19.5" customHeight="1" hidden="1">
      <c r="C15" s="72">
        <v>6</v>
      </c>
      <c r="D15" s="11">
        <f t="shared" si="0"/>
        <v>1715</v>
      </c>
      <c r="E15" s="215">
        <v>1232</v>
      </c>
      <c r="F15" s="215"/>
      <c r="G15" s="215">
        <v>17</v>
      </c>
      <c r="H15" s="215"/>
      <c r="I15" s="215"/>
      <c r="J15" s="215">
        <v>105</v>
      </c>
      <c r="K15" s="215">
        <v>361</v>
      </c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6"/>
      <c r="X15" s="258">
        <v>1296</v>
      </c>
    </row>
    <row r="16" spans="3:24" ht="19.5" customHeight="1" hidden="1">
      <c r="C16" s="72">
        <v>7</v>
      </c>
      <c r="D16" s="11">
        <f t="shared" si="0"/>
        <v>853</v>
      </c>
      <c r="E16" s="215">
        <v>576</v>
      </c>
      <c r="F16" s="215"/>
      <c r="G16" s="215">
        <v>28</v>
      </c>
      <c r="H16" s="215"/>
      <c r="I16" s="215"/>
      <c r="J16" s="215">
        <v>55</v>
      </c>
      <c r="K16" s="215">
        <v>194</v>
      </c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6"/>
      <c r="X16" s="258">
        <v>490</v>
      </c>
    </row>
    <row r="17" spans="3:24" ht="19.5" customHeight="1" hidden="1">
      <c r="C17" s="72">
        <v>8</v>
      </c>
      <c r="D17" s="11">
        <f t="shared" si="0"/>
        <v>518</v>
      </c>
      <c r="E17" s="215">
        <v>359</v>
      </c>
      <c r="F17" s="215"/>
      <c r="G17" s="215">
        <v>34</v>
      </c>
      <c r="H17" s="215"/>
      <c r="I17" s="215"/>
      <c r="J17" s="215">
        <v>48</v>
      </c>
      <c r="K17" s="215">
        <v>77</v>
      </c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6"/>
      <c r="X17" s="258">
        <v>187</v>
      </c>
    </row>
    <row r="18" spans="3:24" ht="19.5" customHeight="1" hidden="1">
      <c r="C18" s="72">
        <v>9</v>
      </c>
      <c r="D18" s="131">
        <f>SUM(E18:W18)</f>
        <v>653</v>
      </c>
      <c r="E18" s="215">
        <v>493</v>
      </c>
      <c r="F18" s="215"/>
      <c r="G18" s="215">
        <v>13</v>
      </c>
      <c r="H18" s="215"/>
      <c r="I18" s="215"/>
      <c r="J18" s="215">
        <v>48</v>
      </c>
      <c r="K18" s="215">
        <v>99</v>
      </c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3"/>
      <c r="X18" s="259">
        <v>819</v>
      </c>
    </row>
    <row r="19" spans="3:24" ht="19.5" customHeight="1" hidden="1">
      <c r="C19" s="72">
        <v>10</v>
      </c>
      <c r="D19" s="135">
        <f>SUM(E19:W19)</f>
        <v>824</v>
      </c>
      <c r="E19" s="224">
        <v>504</v>
      </c>
      <c r="F19" s="224"/>
      <c r="G19" s="224">
        <v>58</v>
      </c>
      <c r="H19" s="224"/>
      <c r="I19" s="224"/>
      <c r="J19" s="224">
        <v>45</v>
      </c>
      <c r="K19" s="224">
        <v>217</v>
      </c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3"/>
      <c r="X19" s="259">
        <v>1198</v>
      </c>
    </row>
    <row r="20" spans="3:24" ht="19.5" customHeight="1" hidden="1">
      <c r="C20" s="72">
        <v>11</v>
      </c>
      <c r="D20" s="61">
        <f>SUM(E20:W20)</f>
        <v>830</v>
      </c>
      <c r="E20" s="225">
        <v>475</v>
      </c>
      <c r="F20" s="225"/>
      <c r="G20" s="225">
        <v>57</v>
      </c>
      <c r="H20" s="225"/>
      <c r="I20" s="225"/>
      <c r="J20" s="225">
        <v>78</v>
      </c>
      <c r="K20" s="225">
        <v>220</v>
      </c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3"/>
      <c r="X20" s="259">
        <v>1128</v>
      </c>
    </row>
    <row r="21" spans="3:24" ht="19.5" customHeight="1" hidden="1">
      <c r="C21" s="72">
        <v>12</v>
      </c>
      <c r="D21" s="61">
        <f aca="true" t="shared" si="1" ref="D21:D33">SUM(E21:W21)</f>
        <v>1150</v>
      </c>
      <c r="E21" s="225">
        <v>770</v>
      </c>
      <c r="F21" s="225"/>
      <c r="G21" s="225">
        <v>31</v>
      </c>
      <c r="H21" s="225"/>
      <c r="I21" s="225"/>
      <c r="J21" s="225">
        <v>55</v>
      </c>
      <c r="K21" s="225">
        <v>294</v>
      </c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3"/>
      <c r="X21" s="259">
        <v>1057</v>
      </c>
    </row>
    <row r="22" spans="2:24" ht="19.5" customHeight="1" hidden="1">
      <c r="B22" s="4" t="s">
        <v>59</v>
      </c>
      <c r="C22" s="72">
        <v>1</v>
      </c>
      <c r="D22" s="61">
        <f t="shared" si="1"/>
        <v>2538</v>
      </c>
      <c r="E22" s="225">
        <v>1623</v>
      </c>
      <c r="F22" s="225"/>
      <c r="G22" s="225">
        <v>310</v>
      </c>
      <c r="H22" s="225"/>
      <c r="I22" s="225"/>
      <c r="J22" s="225">
        <v>409</v>
      </c>
      <c r="K22" s="225">
        <v>196</v>
      </c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3"/>
      <c r="X22" s="259">
        <v>485</v>
      </c>
    </row>
    <row r="23" spans="3:24" ht="19.5" customHeight="1" hidden="1">
      <c r="C23" s="72">
        <v>2</v>
      </c>
      <c r="D23" s="61">
        <f t="shared" si="1"/>
        <v>124</v>
      </c>
      <c r="E23" s="225">
        <v>98</v>
      </c>
      <c r="F23" s="225"/>
      <c r="G23" s="225">
        <v>8</v>
      </c>
      <c r="H23" s="225"/>
      <c r="I23" s="225"/>
      <c r="J23" s="225">
        <v>18</v>
      </c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3"/>
      <c r="X23" s="259">
        <v>13.5</v>
      </c>
    </row>
    <row r="24" spans="3:24" ht="19.5" customHeight="1" hidden="1">
      <c r="C24" s="72">
        <v>3</v>
      </c>
      <c r="D24" s="61">
        <f t="shared" si="1"/>
        <v>453</v>
      </c>
      <c r="E24" s="225">
        <v>346</v>
      </c>
      <c r="F24" s="225"/>
      <c r="G24" s="225">
        <v>33</v>
      </c>
      <c r="H24" s="225"/>
      <c r="I24" s="225"/>
      <c r="J24" s="225">
        <v>39</v>
      </c>
      <c r="K24" s="225">
        <v>35</v>
      </c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3"/>
      <c r="X24" s="259">
        <v>399</v>
      </c>
    </row>
    <row r="25" spans="3:24" ht="19.5" customHeight="1" hidden="1">
      <c r="C25" s="72">
        <v>4</v>
      </c>
      <c r="D25" s="61">
        <f t="shared" si="1"/>
        <v>257</v>
      </c>
      <c r="E25" s="225">
        <v>209</v>
      </c>
      <c r="F25" s="225"/>
      <c r="G25" s="225">
        <v>14</v>
      </c>
      <c r="H25" s="225"/>
      <c r="I25" s="225"/>
      <c r="J25" s="225">
        <v>31</v>
      </c>
      <c r="K25" s="225">
        <v>3</v>
      </c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3"/>
      <c r="X25" s="259">
        <v>325</v>
      </c>
    </row>
    <row r="26" spans="3:24" ht="19.5" customHeight="1" hidden="1">
      <c r="C26" s="72">
        <v>5</v>
      </c>
      <c r="D26" s="61">
        <f t="shared" si="1"/>
        <v>747</v>
      </c>
      <c r="E26" s="225">
        <v>657</v>
      </c>
      <c r="F26" s="225"/>
      <c r="G26" s="225">
        <v>16</v>
      </c>
      <c r="H26" s="225"/>
      <c r="I26" s="225"/>
      <c r="J26" s="225">
        <v>24</v>
      </c>
      <c r="K26" s="225">
        <v>50</v>
      </c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3"/>
      <c r="X26" s="259">
        <v>930</v>
      </c>
    </row>
    <row r="27" spans="3:24" ht="19.5" customHeight="1" hidden="1">
      <c r="C27" s="72">
        <v>6</v>
      </c>
      <c r="D27" s="61">
        <f t="shared" si="1"/>
        <v>645</v>
      </c>
      <c r="E27" s="225">
        <v>457</v>
      </c>
      <c r="F27" s="225"/>
      <c r="G27" s="225">
        <v>27</v>
      </c>
      <c r="H27" s="225"/>
      <c r="I27" s="225"/>
      <c r="J27" s="225">
        <v>85</v>
      </c>
      <c r="K27" s="225">
        <v>76</v>
      </c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3"/>
      <c r="X27" s="259">
        <v>1090</v>
      </c>
    </row>
    <row r="28" spans="3:24" ht="19.5" customHeight="1" hidden="1">
      <c r="C28" s="72">
        <v>7</v>
      </c>
      <c r="D28" s="61">
        <f t="shared" si="1"/>
        <v>129.5</v>
      </c>
      <c r="E28" s="225">
        <v>97</v>
      </c>
      <c r="F28" s="225"/>
      <c r="G28" s="225">
        <v>5.5</v>
      </c>
      <c r="H28" s="225"/>
      <c r="I28" s="225"/>
      <c r="J28" s="225">
        <v>13</v>
      </c>
      <c r="K28" s="225">
        <v>14</v>
      </c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3"/>
      <c r="X28" s="259">
        <v>532</v>
      </c>
    </row>
    <row r="29" spans="3:24" ht="19.5" customHeight="1" hidden="1">
      <c r="C29" s="72">
        <v>8</v>
      </c>
      <c r="D29" s="61">
        <f t="shared" si="1"/>
        <v>317</v>
      </c>
      <c r="E29" s="225">
        <v>157</v>
      </c>
      <c r="F29" s="225"/>
      <c r="G29" s="225">
        <v>80</v>
      </c>
      <c r="H29" s="225"/>
      <c r="I29" s="225"/>
      <c r="J29" s="225">
        <v>62</v>
      </c>
      <c r="K29" s="225">
        <v>18</v>
      </c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3"/>
      <c r="X29" s="259">
        <v>341</v>
      </c>
    </row>
    <row r="30" spans="3:24" ht="19.5" customHeight="1" hidden="1">
      <c r="C30" s="72">
        <v>9</v>
      </c>
      <c r="D30" s="61">
        <f t="shared" si="1"/>
        <v>446</v>
      </c>
      <c r="E30" s="225">
        <v>247</v>
      </c>
      <c r="F30" s="225"/>
      <c r="G30" s="225">
        <v>119</v>
      </c>
      <c r="H30" s="225"/>
      <c r="I30" s="225"/>
      <c r="J30" s="225">
        <v>35</v>
      </c>
      <c r="K30" s="225">
        <v>45</v>
      </c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3"/>
      <c r="X30" s="259">
        <v>754</v>
      </c>
    </row>
    <row r="31" spans="3:24" ht="19.5" customHeight="1" hidden="1">
      <c r="C31" s="72">
        <v>10</v>
      </c>
      <c r="D31" s="61">
        <f t="shared" si="1"/>
        <v>408</v>
      </c>
      <c r="E31" s="225">
        <v>290</v>
      </c>
      <c r="F31" s="225"/>
      <c r="G31" s="225">
        <v>37</v>
      </c>
      <c r="H31" s="225"/>
      <c r="I31" s="225"/>
      <c r="J31" s="225">
        <v>30</v>
      </c>
      <c r="K31" s="225">
        <v>51</v>
      </c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3"/>
      <c r="X31" s="259">
        <v>1001</v>
      </c>
    </row>
    <row r="32" spans="3:24" ht="19.5" customHeight="1" hidden="1">
      <c r="C32" s="72">
        <v>11</v>
      </c>
      <c r="D32" s="61">
        <f>SUM(E32:W32)</f>
        <v>512</v>
      </c>
      <c r="E32" s="225">
        <v>326</v>
      </c>
      <c r="F32" s="225"/>
      <c r="G32" s="225">
        <v>67</v>
      </c>
      <c r="H32" s="225"/>
      <c r="I32" s="225"/>
      <c r="J32" s="225">
        <v>80</v>
      </c>
      <c r="K32" s="225">
        <v>30</v>
      </c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3">
        <v>9</v>
      </c>
      <c r="X32" s="259">
        <v>1033</v>
      </c>
    </row>
    <row r="33" spans="3:24" ht="19.5" customHeight="1" hidden="1">
      <c r="C33" s="72">
        <v>12</v>
      </c>
      <c r="D33" s="61">
        <f t="shared" si="1"/>
        <v>717</v>
      </c>
      <c r="E33" s="225">
        <v>514</v>
      </c>
      <c r="F33" s="225"/>
      <c r="G33" s="225">
        <v>81</v>
      </c>
      <c r="H33" s="225"/>
      <c r="I33" s="225"/>
      <c r="J33" s="225">
        <v>70</v>
      </c>
      <c r="K33" s="225">
        <v>40</v>
      </c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3">
        <v>12</v>
      </c>
      <c r="X33" s="259">
        <v>1124</v>
      </c>
    </row>
    <row r="34" spans="2:24" ht="19.5" customHeight="1" hidden="1">
      <c r="B34" s="4" t="s">
        <v>71</v>
      </c>
      <c r="C34" s="72">
        <v>1</v>
      </c>
      <c r="D34" s="150">
        <f>SUM(E34:X34)</f>
        <v>2477</v>
      </c>
      <c r="E34" s="260">
        <v>876</v>
      </c>
      <c r="F34" s="260"/>
      <c r="G34" s="260">
        <v>85</v>
      </c>
      <c r="H34" s="260"/>
      <c r="I34" s="260"/>
      <c r="J34" s="260">
        <v>111</v>
      </c>
      <c r="K34" s="260">
        <v>412</v>
      </c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>
        <v>8</v>
      </c>
      <c r="X34" s="261">
        <v>985</v>
      </c>
    </row>
    <row r="35" spans="3:24" ht="16.5" hidden="1">
      <c r="C35" s="154">
        <v>2</v>
      </c>
      <c r="D35" s="226">
        <f>SUM(E35:X35)</f>
        <v>1146</v>
      </c>
      <c r="E35" s="226">
        <v>572</v>
      </c>
      <c r="F35" s="226"/>
      <c r="G35" s="226">
        <v>78</v>
      </c>
      <c r="H35" s="226"/>
      <c r="I35" s="226"/>
      <c r="J35" s="226">
        <v>77</v>
      </c>
      <c r="K35" s="226">
        <v>58</v>
      </c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>
        <v>11</v>
      </c>
      <c r="X35" s="261">
        <v>350</v>
      </c>
    </row>
    <row r="36" spans="3:24" ht="16.5" hidden="1">
      <c r="C36" s="154">
        <v>3</v>
      </c>
      <c r="D36" s="226">
        <f>SUM(E36:X36)</f>
        <v>1943</v>
      </c>
      <c r="E36" s="226">
        <v>598</v>
      </c>
      <c r="F36" s="226"/>
      <c r="G36" s="226">
        <v>60</v>
      </c>
      <c r="H36" s="226"/>
      <c r="I36" s="226"/>
      <c r="J36" s="226">
        <v>114</v>
      </c>
      <c r="K36" s="226">
        <v>140</v>
      </c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>
        <v>13</v>
      </c>
      <c r="X36" s="261">
        <v>1018</v>
      </c>
    </row>
    <row r="37" spans="3:24" ht="16.5" hidden="1">
      <c r="C37" s="154">
        <v>4</v>
      </c>
      <c r="D37" s="226">
        <f aca="true" t="shared" si="2" ref="D37:D88">SUM(E37:X37)</f>
        <v>1571.5</v>
      </c>
      <c r="E37" s="226">
        <v>464</v>
      </c>
      <c r="F37" s="226"/>
      <c r="G37" s="226">
        <v>74</v>
      </c>
      <c r="H37" s="226"/>
      <c r="I37" s="226"/>
      <c r="J37" s="226">
        <v>131</v>
      </c>
      <c r="K37" s="226">
        <v>103</v>
      </c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>
        <v>11.5</v>
      </c>
      <c r="X37" s="261">
        <v>788</v>
      </c>
    </row>
    <row r="38" spans="3:24" ht="16.5" hidden="1">
      <c r="C38" s="154">
        <v>5</v>
      </c>
      <c r="D38" s="226">
        <f t="shared" si="2"/>
        <v>1823</v>
      </c>
      <c r="E38" s="226">
        <v>460</v>
      </c>
      <c r="F38" s="226"/>
      <c r="G38" s="226">
        <v>91</v>
      </c>
      <c r="H38" s="226"/>
      <c r="I38" s="226"/>
      <c r="J38" s="226">
        <v>200</v>
      </c>
      <c r="K38" s="226">
        <v>135</v>
      </c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>
        <v>11</v>
      </c>
      <c r="X38" s="261">
        <v>926</v>
      </c>
    </row>
    <row r="39" spans="3:24" ht="16.5" hidden="1">
      <c r="C39" s="154">
        <v>6</v>
      </c>
      <c r="D39" s="226">
        <f t="shared" si="2"/>
        <v>1913</v>
      </c>
      <c r="E39" s="226">
        <v>510</v>
      </c>
      <c r="F39" s="226"/>
      <c r="G39" s="226">
        <v>66</v>
      </c>
      <c r="H39" s="226"/>
      <c r="I39" s="226"/>
      <c r="J39" s="226">
        <v>161</v>
      </c>
      <c r="K39" s="226">
        <v>238</v>
      </c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>
        <v>8</v>
      </c>
      <c r="X39" s="261">
        <v>930</v>
      </c>
    </row>
    <row r="40" spans="3:24" ht="16.5" hidden="1">
      <c r="C40" s="154">
        <v>7</v>
      </c>
      <c r="D40" s="226">
        <f t="shared" si="2"/>
        <v>774.51</v>
      </c>
      <c r="E40" s="226">
        <v>356</v>
      </c>
      <c r="F40" s="226"/>
      <c r="G40" s="226">
        <v>55</v>
      </c>
      <c r="H40" s="226"/>
      <c r="I40" s="226"/>
      <c r="J40" s="226">
        <v>93</v>
      </c>
      <c r="K40" s="226">
        <v>65</v>
      </c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>
        <v>3.51</v>
      </c>
      <c r="W40" s="226">
        <v>4</v>
      </c>
      <c r="X40" s="261">
        <v>198</v>
      </c>
    </row>
    <row r="41" spans="3:24" ht="16.5" hidden="1">
      <c r="C41" s="154">
        <v>8</v>
      </c>
      <c r="D41" s="226">
        <f t="shared" si="2"/>
        <v>419</v>
      </c>
      <c r="E41" s="226">
        <v>116</v>
      </c>
      <c r="F41" s="226"/>
      <c r="G41" s="226">
        <v>32</v>
      </c>
      <c r="H41" s="226"/>
      <c r="I41" s="226"/>
      <c r="J41" s="226">
        <v>56</v>
      </c>
      <c r="K41" s="226">
        <v>40</v>
      </c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61">
        <v>175</v>
      </c>
    </row>
    <row r="42" spans="3:24" ht="16.5" hidden="1">
      <c r="C42" s="154">
        <v>9</v>
      </c>
      <c r="D42" s="226">
        <f t="shared" si="2"/>
        <v>1760</v>
      </c>
      <c r="E42" s="226">
        <v>407</v>
      </c>
      <c r="F42" s="226"/>
      <c r="G42" s="226">
        <v>116</v>
      </c>
      <c r="H42" s="226"/>
      <c r="I42" s="226"/>
      <c r="J42" s="226">
        <v>125</v>
      </c>
      <c r="K42" s="226">
        <v>162</v>
      </c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>
        <v>18</v>
      </c>
      <c r="X42" s="261">
        <v>932</v>
      </c>
    </row>
    <row r="43" spans="3:24" ht="16.5" hidden="1">
      <c r="C43" s="154">
        <v>10</v>
      </c>
      <c r="D43" s="226">
        <f t="shared" si="2"/>
        <v>1304</v>
      </c>
      <c r="E43" s="226">
        <v>238</v>
      </c>
      <c r="F43" s="226"/>
      <c r="G43" s="226">
        <v>90</v>
      </c>
      <c r="H43" s="226"/>
      <c r="I43" s="226"/>
      <c r="J43" s="226">
        <v>30</v>
      </c>
      <c r="K43" s="226">
        <v>59</v>
      </c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>
        <v>22</v>
      </c>
      <c r="X43" s="261">
        <v>865</v>
      </c>
    </row>
    <row r="44" spans="3:24" ht="16.5" hidden="1">
      <c r="C44" s="154">
        <v>11</v>
      </c>
      <c r="D44" s="226">
        <f t="shared" si="2"/>
        <v>1381</v>
      </c>
      <c r="E44" s="226">
        <v>269</v>
      </c>
      <c r="F44" s="226"/>
      <c r="G44" s="226">
        <v>54</v>
      </c>
      <c r="H44" s="226"/>
      <c r="I44" s="226"/>
      <c r="J44" s="226">
        <v>79</v>
      </c>
      <c r="K44" s="226">
        <v>64</v>
      </c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61">
        <v>915</v>
      </c>
    </row>
    <row r="45" spans="3:24" ht="17.25" hidden="1" thickBot="1">
      <c r="C45" s="155">
        <v>12</v>
      </c>
      <c r="D45" s="228">
        <f t="shared" si="2"/>
        <v>1470</v>
      </c>
      <c r="E45" s="228">
        <v>338</v>
      </c>
      <c r="F45" s="228"/>
      <c r="G45" s="228">
        <v>130</v>
      </c>
      <c r="H45" s="228"/>
      <c r="I45" s="228"/>
      <c r="J45" s="228">
        <v>71</v>
      </c>
      <c r="K45" s="228">
        <v>89</v>
      </c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>
        <v>9</v>
      </c>
      <c r="X45" s="262">
        <v>833</v>
      </c>
    </row>
    <row r="46" spans="2:24" ht="19.5" customHeight="1" hidden="1">
      <c r="B46" s="4" t="s">
        <v>109</v>
      </c>
      <c r="C46" s="72">
        <v>1</v>
      </c>
      <c r="D46" s="150">
        <f t="shared" si="2"/>
        <v>1692</v>
      </c>
      <c r="E46" s="260">
        <v>645</v>
      </c>
      <c r="F46" s="260"/>
      <c r="G46" s="260">
        <v>97</v>
      </c>
      <c r="H46" s="260"/>
      <c r="I46" s="260"/>
      <c r="J46" s="260">
        <v>70</v>
      </c>
      <c r="K46" s="260">
        <v>267</v>
      </c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>
        <v>4</v>
      </c>
      <c r="X46" s="261">
        <v>609</v>
      </c>
    </row>
    <row r="47" spans="3:24" ht="16.5" hidden="1">
      <c r="C47" s="154">
        <v>2</v>
      </c>
      <c r="D47" s="226">
        <f t="shared" si="2"/>
        <v>1214</v>
      </c>
      <c r="E47" s="226">
        <v>546</v>
      </c>
      <c r="F47" s="226"/>
      <c r="G47" s="226">
        <v>55</v>
      </c>
      <c r="H47" s="226"/>
      <c r="I47" s="226"/>
      <c r="J47" s="226">
        <v>88</v>
      </c>
      <c r="K47" s="226">
        <v>107</v>
      </c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>
        <v>6</v>
      </c>
      <c r="X47" s="261">
        <v>412</v>
      </c>
    </row>
    <row r="48" spans="3:24" ht="16.5" hidden="1">
      <c r="C48" s="154">
        <v>3</v>
      </c>
      <c r="D48" s="226">
        <f t="shared" si="2"/>
        <v>1731</v>
      </c>
      <c r="E48" s="226">
        <v>568</v>
      </c>
      <c r="F48" s="226"/>
      <c r="G48" s="226">
        <v>74</v>
      </c>
      <c r="H48" s="226"/>
      <c r="I48" s="226"/>
      <c r="J48" s="226">
        <v>109</v>
      </c>
      <c r="K48" s="226">
        <v>108</v>
      </c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>
        <v>18</v>
      </c>
      <c r="X48" s="261">
        <v>854</v>
      </c>
    </row>
    <row r="49" spans="3:24" ht="16.5" hidden="1">
      <c r="C49" s="154">
        <v>4</v>
      </c>
      <c r="D49" s="226">
        <f t="shared" si="2"/>
        <v>1464</v>
      </c>
      <c r="E49" s="226">
        <v>535</v>
      </c>
      <c r="F49" s="226"/>
      <c r="G49" s="226">
        <v>73</v>
      </c>
      <c r="H49" s="226"/>
      <c r="I49" s="226"/>
      <c r="J49" s="226">
        <v>114</v>
      </c>
      <c r="K49" s="226">
        <v>54</v>
      </c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>
        <v>20</v>
      </c>
      <c r="X49" s="261">
        <v>668</v>
      </c>
    </row>
    <row r="50" spans="3:24" ht="16.5" hidden="1">
      <c r="C50" s="154">
        <v>5</v>
      </c>
      <c r="D50" s="226">
        <f t="shared" si="2"/>
        <v>2072</v>
      </c>
      <c r="E50" s="226">
        <v>718</v>
      </c>
      <c r="F50" s="226"/>
      <c r="G50" s="226">
        <v>67</v>
      </c>
      <c r="H50" s="226"/>
      <c r="I50" s="226"/>
      <c r="J50" s="226">
        <v>236</v>
      </c>
      <c r="K50" s="226">
        <v>142</v>
      </c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>
        <v>24</v>
      </c>
      <c r="X50" s="261">
        <v>885</v>
      </c>
    </row>
    <row r="51" spans="3:24" ht="16.5" hidden="1">
      <c r="C51" s="154">
        <v>6</v>
      </c>
      <c r="D51" s="226">
        <f t="shared" si="2"/>
        <v>2256</v>
      </c>
      <c r="E51" s="226">
        <v>744</v>
      </c>
      <c r="F51" s="226"/>
      <c r="G51" s="226">
        <v>167</v>
      </c>
      <c r="H51" s="226"/>
      <c r="I51" s="226"/>
      <c r="J51" s="226">
        <v>233</v>
      </c>
      <c r="K51" s="226">
        <v>246</v>
      </c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>
        <v>12</v>
      </c>
      <c r="X51" s="261">
        <v>854</v>
      </c>
    </row>
    <row r="52" spans="3:24" ht="16.5" hidden="1">
      <c r="C52" s="154">
        <v>7</v>
      </c>
      <c r="D52" s="226">
        <f t="shared" si="2"/>
        <v>291</v>
      </c>
      <c r="E52" s="226">
        <v>57</v>
      </c>
      <c r="F52" s="226"/>
      <c r="G52" s="226">
        <v>17</v>
      </c>
      <c r="H52" s="226"/>
      <c r="I52" s="226"/>
      <c r="J52" s="226">
        <v>41</v>
      </c>
      <c r="K52" s="226">
        <v>62</v>
      </c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>
        <v>4</v>
      </c>
      <c r="X52" s="261">
        <v>110</v>
      </c>
    </row>
    <row r="53" spans="3:24" ht="16.5" hidden="1">
      <c r="C53" s="154">
        <v>8</v>
      </c>
      <c r="D53" s="226">
        <f t="shared" si="2"/>
        <v>327</v>
      </c>
      <c r="E53" s="226">
        <v>60</v>
      </c>
      <c r="F53" s="226"/>
      <c r="G53" s="226">
        <v>21</v>
      </c>
      <c r="H53" s="226"/>
      <c r="I53" s="226"/>
      <c r="J53" s="226">
        <v>54</v>
      </c>
      <c r="K53" s="226">
        <v>34</v>
      </c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>
        <v>6</v>
      </c>
      <c r="X53" s="261">
        <v>152</v>
      </c>
    </row>
    <row r="54" spans="3:24" ht="16.5" hidden="1">
      <c r="C54" s="154">
        <v>9</v>
      </c>
      <c r="D54" s="226">
        <f t="shared" si="2"/>
        <v>1615</v>
      </c>
      <c r="E54" s="226">
        <v>545</v>
      </c>
      <c r="F54" s="226"/>
      <c r="G54" s="226">
        <v>33</v>
      </c>
      <c r="H54" s="226"/>
      <c r="I54" s="226"/>
      <c r="J54" s="226">
        <v>179</v>
      </c>
      <c r="K54" s="226">
        <v>139</v>
      </c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>
        <v>10</v>
      </c>
      <c r="X54" s="261">
        <v>709</v>
      </c>
    </row>
    <row r="55" spans="3:24" ht="16.5" hidden="1">
      <c r="C55" s="154">
        <v>10</v>
      </c>
      <c r="D55" s="226">
        <f t="shared" si="2"/>
        <v>2024</v>
      </c>
      <c r="E55" s="226">
        <v>722</v>
      </c>
      <c r="F55" s="226"/>
      <c r="G55" s="226">
        <v>67</v>
      </c>
      <c r="H55" s="226"/>
      <c r="I55" s="226"/>
      <c r="J55" s="226">
        <v>276</v>
      </c>
      <c r="K55" s="226">
        <v>137</v>
      </c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>
        <v>16</v>
      </c>
      <c r="X55" s="261">
        <v>806</v>
      </c>
    </row>
    <row r="56" spans="3:24" ht="17.25" hidden="1" thickBot="1">
      <c r="C56" s="154">
        <v>11</v>
      </c>
      <c r="D56" s="226">
        <f t="shared" si="2"/>
        <v>1703</v>
      </c>
      <c r="E56" s="226">
        <v>604</v>
      </c>
      <c r="F56" s="226"/>
      <c r="G56" s="226">
        <v>78</v>
      </c>
      <c r="H56" s="226"/>
      <c r="I56" s="226"/>
      <c r="J56" s="226">
        <v>16</v>
      </c>
      <c r="K56" s="226">
        <v>129</v>
      </c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>
        <v>15</v>
      </c>
      <c r="X56" s="261">
        <v>861</v>
      </c>
    </row>
    <row r="57" spans="3:24" ht="17.25" hidden="1" thickBot="1">
      <c r="C57" s="155">
        <v>12</v>
      </c>
      <c r="D57" s="228">
        <f t="shared" si="2"/>
        <v>1253</v>
      </c>
      <c r="E57" s="228">
        <v>73</v>
      </c>
      <c r="F57" s="228"/>
      <c r="G57" s="228">
        <v>73</v>
      </c>
      <c r="H57" s="228"/>
      <c r="I57" s="228"/>
      <c r="J57" s="228">
        <v>128</v>
      </c>
      <c r="K57" s="228">
        <v>122</v>
      </c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>
        <v>9</v>
      </c>
      <c r="X57" s="262">
        <v>848</v>
      </c>
    </row>
    <row r="58" spans="2:24" ht="17.25" hidden="1" thickTop="1">
      <c r="B58" s="4">
        <v>102</v>
      </c>
      <c r="C58" s="72">
        <v>1</v>
      </c>
      <c r="D58" s="234">
        <f t="shared" si="2"/>
        <v>1559</v>
      </c>
      <c r="E58" s="248">
        <v>482</v>
      </c>
      <c r="F58" s="248"/>
      <c r="G58" s="248">
        <v>53</v>
      </c>
      <c r="H58" s="248"/>
      <c r="I58" s="248"/>
      <c r="J58" s="248">
        <v>152</v>
      </c>
      <c r="K58" s="248">
        <v>126</v>
      </c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>
        <v>6</v>
      </c>
      <c r="X58" s="263">
        <v>740</v>
      </c>
    </row>
    <row r="59" spans="3:24" ht="15.75" customHeight="1" hidden="1">
      <c r="C59" s="154">
        <v>2</v>
      </c>
      <c r="D59" s="226">
        <f t="shared" si="2"/>
        <v>632</v>
      </c>
      <c r="E59" s="226">
        <v>283</v>
      </c>
      <c r="F59" s="226"/>
      <c r="G59" s="226">
        <v>45</v>
      </c>
      <c r="H59" s="226"/>
      <c r="I59" s="226"/>
      <c r="J59" s="226">
        <v>60</v>
      </c>
      <c r="K59" s="226">
        <v>53</v>
      </c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>
        <v>2</v>
      </c>
      <c r="X59" s="261">
        <v>189</v>
      </c>
    </row>
    <row r="60" spans="3:24" ht="16.5" hidden="1">
      <c r="C60" s="154">
        <v>3</v>
      </c>
      <c r="D60" s="226">
        <f t="shared" si="2"/>
        <v>1830</v>
      </c>
      <c r="E60" s="226">
        <v>717</v>
      </c>
      <c r="F60" s="226"/>
      <c r="G60" s="226">
        <v>43</v>
      </c>
      <c r="H60" s="226"/>
      <c r="I60" s="226"/>
      <c r="J60" s="226">
        <v>230</v>
      </c>
      <c r="K60" s="226">
        <v>82</v>
      </c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>
        <v>18</v>
      </c>
      <c r="X60" s="261">
        <v>740</v>
      </c>
    </row>
    <row r="61" spans="3:24" ht="16.5" hidden="1">
      <c r="C61" s="154">
        <v>4</v>
      </c>
      <c r="D61" s="226">
        <f t="shared" si="2"/>
        <v>1913</v>
      </c>
      <c r="E61" s="226">
        <v>702</v>
      </c>
      <c r="F61" s="226"/>
      <c r="G61" s="226">
        <v>76</v>
      </c>
      <c r="H61" s="226"/>
      <c r="I61" s="226"/>
      <c r="J61" s="226">
        <v>271</v>
      </c>
      <c r="K61" s="226">
        <v>141</v>
      </c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>
        <v>14</v>
      </c>
      <c r="X61" s="261">
        <v>709</v>
      </c>
    </row>
    <row r="62" spans="3:24" ht="16.5" hidden="1">
      <c r="C62" s="154">
        <v>5</v>
      </c>
      <c r="D62" s="226">
        <f t="shared" si="2"/>
        <v>2045</v>
      </c>
      <c r="E62" s="226">
        <v>702</v>
      </c>
      <c r="F62" s="226"/>
      <c r="G62" s="226">
        <v>59</v>
      </c>
      <c r="H62" s="226"/>
      <c r="I62" s="226"/>
      <c r="J62" s="226">
        <v>287</v>
      </c>
      <c r="K62" s="226">
        <v>141</v>
      </c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>
        <v>8</v>
      </c>
      <c r="X62" s="261">
        <v>848</v>
      </c>
    </row>
    <row r="63" spans="3:24" ht="16.5" hidden="1">
      <c r="C63" s="154">
        <v>6</v>
      </c>
      <c r="D63" s="226">
        <f t="shared" si="2"/>
        <v>3095</v>
      </c>
      <c r="E63" s="226">
        <v>1548</v>
      </c>
      <c r="F63" s="226"/>
      <c r="G63" s="226">
        <v>188</v>
      </c>
      <c r="H63" s="226"/>
      <c r="I63" s="226"/>
      <c r="J63" s="226">
        <v>448</v>
      </c>
      <c r="K63" s="226">
        <v>375</v>
      </c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>
        <v>4</v>
      </c>
      <c r="X63" s="261">
        <v>532</v>
      </c>
    </row>
    <row r="64" spans="3:24" ht="16.5" hidden="1">
      <c r="C64" s="154">
        <v>7</v>
      </c>
      <c r="D64" s="226">
        <f t="shared" si="2"/>
        <v>453</v>
      </c>
      <c r="E64" s="226">
        <v>131</v>
      </c>
      <c r="F64" s="226"/>
      <c r="G64" s="226">
        <v>40</v>
      </c>
      <c r="H64" s="226"/>
      <c r="I64" s="226"/>
      <c r="J64" s="226">
        <v>43</v>
      </c>
      <c r="K64" s="226">
        <v>68</v>
      </c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>
        <v>4</v>
      </c>
      <c r="X64" s="261">
        <v>167</v>
      </c>
    </row>
    <row r="65" spans="3:24" ht="16.5" hidden="1">
      <c r="C65" s="154">
        <v>8</v>
      </c>
      <c r="D65" s="226">
        <f t="shared" si="2"/>
        <v>309</v>
      </c>
      <c r="E65" s="226">
        <v>77</v>
      </c>
      <c r="F65" s="226"/>
      <c r="G65" s="226">
        <v>36</v>
      </c>
      <c r="H65" s="226"/>
      <c r="I65" s="226"/>
      <c r="J65" s="226">
        <v>53</v>
      </c>
      <c r="K65" s="226">
        <v>35</v>
      </c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>
        <v>5</v>
      </c>
      <c r="X65" s="261">
        <v>103</v>
      </c>
    </row>
    <row r="66" spans="3:24" ht="16.5" hidden="1">
      <c r="C66" s="154">
        <v>9</v>
      </c>
      <c r="D66" s="226">
        <f t="shared" si="2"/>
        <v>1333</v>
      </c>
      <c r="E66" s="226">
        <v>472</v>
      </c>
      <c r="F66" s="226"/>
      <c r="G66" s="226">
        <v>139</v>
      </c>
      <c r="H66" s="226"/>
      <c r="I66" s="226"/>
      <c r="J66" s="226">
        <v>125</v>
      </c>
      <c r="K66" s="226">
        <v>140</v>
      </c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>
        <v>4</v>
      </c>
      <c r="X66" s="261">
        <v>453</v>
      </c>
    </row>
    <row r="67" spans="3:24" ht="16.5" hidden="1">
      <c r="C67" s="154">
        <v>10</v>
      </c>
      <c r="D67" s="226">
        <f t="shared" si="2"/>
        <v>2126</v>
      </c>
      <c r="E67" s="226">
        <v>733</v>
      </c>
      <c r="F67" s="226"/>
      <c r="G67" s="226">
        <v>96</v>
      </c>
      <c r="H67" s="226"/>
      <c r="I67" s="226"/>
      <c r="J67" s="226">
        <v>285</v>
      </c>
      <c r="K67" s="226">
        <v>142</v>
      </c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>
        <v>6</v>
      </c>
      <c r="X67" s="261">
        <v>864</v>
      </c>
    </row>
    <row r="68" spans="3:24" ht="16.5" hidden="1">
      <c r="C68" s="154">
        <v>11</v>
      </c>
      <c r="D68" s="226">
        <f t="shared" si="2"/>
        <v>2120.5</v>
      </c>
      <c r="E68" s="226">
        <v>795</v>
      </c>
      <c r="F68" s="226"/>
      <c r="G68" s="226">
        <v>107</v>
      </c>
      <c r="H68" s="226"/>
      <c r="I68" s="226"/>
      <c r="J68" s="226">
        <v>208</v>
      </c>
      <c r="K68" s="226">
        <v>136</v>
      </c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64">
        <v>7.5</v>
      </c>
      <c r="X68" s="261">
        <v>867</v>
      </c>
    </row>
    <row r="69" spans="3:24" ht="17.25" hidden="1" thickBot="1">
      <c r="C69" s="155">
        <v>12</v>
      </c>
      <c r="D69" s="226">
        <f t="shared" si="2"/>
        <v>2111</v>
      </c>
      <c r="E69" s="233">
        <v>778</v>
      </c>
      <c r="F69" s="239"/>
      <c r="G69" s="239">
        <v>130</v>
      </c>
      <c r="H69" s="239"/>
      <c r="I69" s="239"/>
      <c r="J69" s="239">
        <v>227</v>
      </c>
      <c r="K69" s="239">
        <v>122</v>
      </c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>
        <v>7</v>
      </c>
      <c r="X69" s="265">
        <v>847</v>
      </c>
    </row>
    <row r="70" spans="2:24" ht="16.5">
      <c r="B70" s="4">
        <v>103</v>
      </c>
      <c r="C70" s="189">
        <v>1</v>
      </c>
      <c r="D70" s="226">
        <f t="shared" si="2"/>
        <v>2050</v>
      </c>
      <c r="E70" s="226">
        <v>792</v>
      </c>
      <c r="F70" s="226"/>
      <c r="G70" s="226">
        <v>79</v>
      </c>
      <c r="H70" s="226"/>
      <c r="I70" s="226"/>
      <c r="J70" s="226">
        <v>193</v>
      </c>
      <c r="K70" s="226">
        <v>207</v>
      </c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>
        <v>7</v>
      </c>
      <c r="X70" s="191">
        <v>772</v>
      </c>
    </row>
    <row r="71" spans="3:24" ht="16.5">
      <c r="C71" s="190">
        <v>2</v>
      </c>
      <c r="D71" s="226">
        <f t="shared" si="2"/>
        <v>1218</v>
      </c>
      <c r="E71" s="226">
        <v>776</v>
      </c>
      <c r="F71" s="226"/>
      <c r="G71" s="226">
        <v>32</v>
      </c>
      <c r="H71" s="226"/>
      <c r="I71" s="226"/>
      <c r="J71" s="226">
        <v>102</v>
      </c>
      <c r="K71" s="226">
        <v>53</v>
      </c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>
        <v>4</v>
      </c>
      <c r="X71" s="191">
        <v>251</v>
      </c>
    </row>
    <row r="72" spans="3:24" ht="16.5">
      <c r="C72" s="190">
        <v>3</v>
      </c>
      <c r="D72" s="226">
        <f t="shared" si="2"/>
        <v>2109</v>
      </c>
      <c r="E72" s="226">
        <v>954</v>
      </c>
      <c r="F72" s="226"/>
      <c r="G72" s="226">
        <v>93</v>
      </c>
      <c r="H72" s="226"/>
      <c r="I72" s="226"/>
      <c r="J72" s="226">
        <v>211</v>
      </c>
      <c r="K72" s="226">
        <v>78</v>
      </c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>
        <v>16</v>
      </c>
      <c r="X72" s="191">
        <v>757</v>
      </c>
    </row>
    <row r="73" spans="3:24" ht="16.5">
      <c r="C73" s="190">
        <v>4</v>
      </c>
      <c r="D73" s="226">
        <f t="shared" si="2"/>
        <v>2147</v>
      </c>
      <c r="E73" s="226">
        <v>1056</v>
      </c>
      <c r="F73" s="226"/>
      <c r="G73" s="226">
        <v>72</v>
      </c>
      <c r="H73" s="226"/>
      <c r="I73" s="226"/>
      <c r="J73" s="226">
        <v>212</v>
      </c>
      <c r="K73" s="226">
        <v>101</v>
      </c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>
        <v>12</v>
      </c>
      <c r="X73" s="191">
        <v>694</v>
      </c>
    </row>
    <row r="74" spans="3:24" ht="16.5">
      <c r="C74" s="190">
        <v>5</v>
      </c>
      <c r="D74" s="226">
        <f t="shared" si="2"/>
        <v>2564</v>
      </c>
      <c r="E74" s="226">
        <v>1138</v>
      </c>
      <c r="F74" s="226"/>
      <c r="G74" s="226">
        <v>46</v>
      </c>
      <c r="H74" s="226"/>
      <c r="I74" s="226"/>
      <c r="J74" s="226">
        <v>342</v>
      </c>
      <c r="K74" s="226">
        <v>123</v>
      </c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>
        <v>16</v>
      </c>
      <c r="X74" s="191">
        <v>899</v>
      </c>
    </row>
    <row r="75" spans="3:24" ht="16.5">
      <c r="C75" s="190">
        <v>6</v>
      </c>
      <c r="D75" s="226">
        <f t="shared" si="2"/>
        <v>4715.5</v>
      </c>
      <c r="E75" s="226">
        <v>2673</v>
      </c>
      <c r="F75" s="226"/>
      <c r="G75" s="226">
        <v>107</v>
      </c>
      <c r="H75" s="226"/>
      <c r="I75" s="226"/>
      <c r="J75" s="226">
        <v>382</v>
      </c>
      <c r="K75" s="226">
        <v>483</v>
      </c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>
        <v>3.5</v>
      </c>
      <c r="X75" s="191">
        <v>1067</v>
      </c>
    </row>
    <row r="76" spans="3:24" ht="16.5">
      <c r="C76" s="190">
        <v>7</v>
      </c>
      <c r="D76" s="226">
        <f t="shared" si="2"/>
        <v>366</v>
      </c>
      <c r="E76" s="226">
        <v>123</v>
      </c>
      <c r="F76" s="226"/>
      <c r="G76" s="226">
        <v>20</v>
      </c>
      <c r="H76" s="226"/>
      <c r="I76" s="226"/>
      <c r="J76" s="226">
        <v>34</v>
      </c>
      <c r="K76" s="226">
        <v>35</v>
      </c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>
        <v>4</v>
      </c>
      <c r="X76" s="191">
        <v>150</v>
      </c>
    </row>
    <row r="77" spans="3:24" ht="16.5">
      <c r="C77" s="190">
        <v>8</v>
      </c>
      <c r="D77" s="226">
        <f t="shared" si="2"/>
        <v>599</v>
      </c>
      <c r="E77" s="226">
        <v>293</v>
      </c>
      <c r="F77" s="226"/>
      <c r="G77" s="226">
        <v>27</v>
      </c>
      <c r="H77" s="226"/>
      <c r="I77" s="226"/>
      <c r="J77" s="226">
        <v>48</v>
      </c>
      <c r="K77" s="226">
        <v>19</v>
      </c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>
        <v>3</v>
      </c>
      <c r="X77" s="191">
        <v>209</v>
      </c>
    </row>
    <row r="78" spans="3:24" ht="16.5">
      <c r="C78" s="190">
        <v>9</v>
      </c>
      <c r="D78" s="226">
        <f t="shared" si="2"/>
        <v>1627</v>
      </c>
      <c r="E78" s="226">
        <v>613</v>
      </c>
      <c r="F78" s="226"/>
      <c r="G78" s="226">
        <v>88</v>
      </c>
      <c r="H78" s="226"/>
      <c r="I78" s="226"/>
      <c r="J78" s="226">
        <v>205</v>
      </c>
      <c r="K78" s="226">
        <v>152</v>
      </c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>
        <v>7</v>
      </c>
      <c r="X78" s="191">
        <v>562</v>
      </c>
    </row>
    <row r="79" spans="3:24" ht="16.5">
      <c r="C79" s="190">
        <v>10</v>
      </c>
      <c r="D79" s="226">
        <f t="shared" si="2"/>
        <v>2659</v>
      </c>
      <c r="E79" s="226">
        <v>957</v>
      </c>
      <c r="F79" s="226"/>
      <c r="G79" s="226">
        <v>101</v>
      </c>
      <c r="H79" s="226"/>
      <c r="I79" s="226"/>
      <c r="J79" s="226">
        <v>334</v>
      </c>
      <c r="K79" s="226">
        <v>106</v>
      </c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>
        <v>15</v>
      </c>
      <c r="X79" s="191">
        <v>1146</v>
      </c>
    </row>
    <row r="80" spans="3:24" ht="16.5">
      <c r="C80" s="190">
        <v>11</v>
      </c>
      <c r="D80" s="226">
        <f t="shared" si="2"/>
        <v>2151</v>
      </c>
      <c r="E80" s="226">
        <v>874</v>
      </c>
      <c r="F80" s="226"/>
      <c r="G80" s="226">
        <v>105</v>
      </c>
      <c r="H80" s="226"/>
      <c r="I80" s="226"/>
      <c r="J80" s="226">
        <v>261</v>
      </c>
      <c r="K80" s="226">
        <v>158</v>
      </c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>
        <v>0</v>
      </c>
      <c r="X80" s="191">
        <v>753</v>
      </c>
    </row>
    <row r="81" spans="3:24" ht="16.5">
      <c r="C81" s="191">
        <v>12</v>
      </c>
      <c r="D81" s="226">
        <f t="shared" si="2"/>
        <v>2762</v>
      </c>
      <c r="E81" s="226">
        <v>1369</v>
      </c>
      <c r="F81" s="226"/>
      <c r="G81" s="226">
        <v>83</v>
      </c>
      <c r="H81" s="226"/>
      <c r="I81" s="226"/>
      <c r="J81" s="226">
        <v>224</v>
      </c>
      <c r="K81" s="226">
        <v>207</v>
      </c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>
        <v>15</v>
      </c>
      <c r="X81" s="191">
        <v>864</v>
      </c>
    </row>
    <row r="82" spans="2:24" ht="16.5">
      <c r="B82" s="4">
        <v>104</v>
      </c>
      <c r="C82" s="191">
        <v>1</v>
      </c>
      <c r="D82" s="226">
        <f t="shared" si="2"/>
        <v>2069</v>
      </c>
      <c r="E82" s="226">
        <v>813</v>
      </c>
      <c r="F82" s="226"/>
      <c r="G82" s="226">
        <v>97</v>
      </c>
      <c r="H82" s="226"/>
      <c r="I82" s="226"/>
      <c r="J82" s="226">
        <v>212</v>
      </c>
      <c r="K82" s="226">
        <v>144</v>
      </c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>
        <v>9</v>
      </c>
      <c r="X82" s="191">
        <v>794</v>
      </c>
    </row>
    <row r="83" spans="3:24" ht="16.5">
      <c r="C83" s="191">
        <v>2</v>
      </c>
      <c r="D83" s="226">
        <f t="shared" si="2"/>
        <v>341</v>
      </c>
      <c r="E83" s="226">
        <v>169</v>
      </c>
      <c r="F83" s="226"/>
      <c r="G83" s="226">
        <v>19</v>
      </c>
      <c r="H83" s="226"/>
      <c r="I83" s="226"/>
      <c r="J83" s="226">
        <v>34</v>
      </c>
      <c r="K83" s="226">
        <v>33</v>
      </c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>
        <v>2</v>
      </c>
      <c r="X83" s="191">
        <v>84</v>
      </c>
    </row>
    <row r="84" spans="3:24" ht="16.5">
      <c r="C84" s="191">
        <v>3</v>
      </c>
      <c r="D84" s="226">
        <f t="shared" si="2"/>
        <v>2135</v>
      </c>
      <c r="E84" s="226">
        <v>971</v>
      </c>
      <c r="F84" s="226"/>
      <c r="G84" s="226">
        <v>70</v>
      </c>
      <c r="H84" s="226"/>
      <c r="I84" s="226"/>
      <c r="J84" s="226">
        <v>133</v>
      </c>
      <c r="K84" s="226">
        <v>128</v>
      </c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>
        <v>13</v>
      </c>
      <c r="X84" s="191">
        <v>820</v>
      </c>
    </row>
    <row r="85" spans="3:24" ht="16.5">
      <c r="C85" s="191">
        <v>4</v>
      </c>
      <c r="D85" s="226">
        <f t="shared" si="2"/>
        <v>1824</v>
      </c>
      <c r="E85" s="226">
        <v>827</v>
      </c>
      <c r="F85" s="226"/>
      <c r="G85" s="226">
        <v>76</v>
      </c>
      <c r="H85" s="226"/>
      <c r="I85" s="226"/>
      <c r="J85" s="226">
        <v>176</v>
      </c>
      <c r="K85" s="226">
        <v>61</v>
      </c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>
        <v>15</v>
      </c>
      <c r="X85" s="191">
        <v>669</v>
      </c>
    </row>
    <row r="86" spans="3:24" ht="16.5">
      <c r="C86" s="191">
        <v>5</v>
      </c>
      <c r="D86" s="226">
        <f t="shared" si="2"/>
        <v>2208</v>
      </c>
      <c r="E86" s="226">
        <v>934</v>
      </c>
      <c r="F86" s="226"/>
      <c r="G86" s="226">
        <v>91</v>
      </c>
      <c r="H86" s="226"/>
      <c r="I86" s="226"/>
      <c r="J86" s="226">
        <v>175</v>
      </c>
      <c r="K86" s="226">
        <v>200</v>
      </c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>
        <v>21</v>
      </c>
      <c r="X86" s="191">
        <v>787</v>
      </c>
    </row>
    <row r="87" spans="3:24" ht="16.5">
      <c r="C87" s="191">
        <v>6</v>
      </c>
      <c r="D87" s="226">
        <f t="shared" si="2"/>
        <v>3674</v>
      </c>
      <c r="E87" s="226">
        <v>1503</v>
      </c>
      <c r="F87" s="226"/>
      <c r="G87" s="226">
        <v>147</v>
      </c>
      <c r="H87" s="226"/>
      <c r="I87" s="226"/>
      <c r="J87" s="226">
        <v>373</v>
      </c>
      <c r="K87" s="226">
        <v>486</v>
      </c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>
        <v>9</v>
      </c>
      <c r="X87" s="191">
        <v>1156</v>
      </c>
    </row>
    <row r="88" spans="3:24" ht="16.5">
      <c r="C88" s="191">
        <v>7</v>
      </c>
      <c r="D88" s="226">
        <f t="shared" si="2"/>
        <v>745</v>
      </c>
      <c r="E88" s="226">
        <v>187</v>
      </c>
      <c r="F88" s="226"/>
      <c r="G88" s="226">
        <v>32</v>
      </c>
      <c r="H88" s="226"/>
      <c r="I88" s="226"/>
      <c r="J88" s="226">
        <v>59</v>
      </c>
      <c r="K88" s="226">
        <v>62</v>
      </c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>
        <v>5</v>
      </c>
      <c r="X88" s="191">
        <v>400</v>
      </c>
    </row>
    <row r="89" spans="3:24" ht="16.5">
      <c r="C89" s="191">
        <v>8</v>
      </c>
      <c r="D89" s="226">
        <f>SUM(E89:X89)</f>
        <v>970</v>
      </c>
      <c r="E89" s="226">
        <v>335</v>
      </c>
      <c r="F89" s="226"/>
      <c r="G89" s="226">
        <v>72</v>
      </c>
      <c r="H89" s="226"/>
      <c r="I89" s="226"/>
      <c r="J89" s="226">
        <v>43</v>
      </c>
      <c r="K89" s="226">
        <v>58</v>
      </c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>
        <v>5</v>
      </c>
      <c r="X89" s="191">
        <v>457</v>
      </c>
    </row>
    <row r="90" spans="3:24" ht="16.5">
      <c r="C90" s="191">
        <v>9</v>
      </c>
      <c r="D90" s="226">
        <f>SUM(E90:X90)</f>
        <v>2077</v>
      </c>
      <c r="E90" s="226">
        <v>858</v>
      </c>
      <c r="F90" s="226"/>
      <c r="G90" s="226">
        <v>64</v>
      </c>
      <c r="H90" s="226"/>
      <c r="I90" s="226"/>
      <c r="J90" s="226">
        <v>195</v>
      </c>
      <c r="K90" s="226">
        <v>165</v>
      </c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>
        <v>8</v>
      </c>
      <c r="X90" s="191">
        <v>787</v>
      </c>
    </row>
    <row r="91" spans="3:24" ht="16.5">
      <c r="C91" s="191">
        <v>10</v>
      </c>
      <c r="D91" s="226">
        <f>SUM(E91:X91)</f>
        <v>2619</v>
      </c>
      <c r="E91" s="226">
        <v>1020</v>
      </c>
      <c r="F91" s="226"/>
      <c r="G91" s="226">
        <v>107</v>
      </c>
      <c r="H91" s="226"/>
      <c r="I91" s="226"/>
      <c r="J91" s="226">
        <v>304</v>
      </c>
      <c r="K91" s="226">
        <v>124</v>
      </c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>
        <v>13</v>
      </c>
      <c r="X91" s="191">
        <v>1051</v>
      </c>
    </row>
    <row r="92" spans="3:24" ht="16.5">
      <c r="C92" s="191">
        <v>11</v>
      </c>
      <c r="D92" s="226">
        <f aca="true" t="shared" si="3" ref="D92:D105">SUM(E92:X92)</f>
        <v>2329</v>
      </c>
      <c r="E92" s="226">
        <v>930</v>
      </c>
      <c r="F92" s="226"/>
      <c r="G92" s="226">
        <v>120</v>
      </c>
      <c r="H92" s="226"/>
      <c r="I92" s="226"/>
      <c r="J92" s="226">
        <v>225</v>
      </c>
      <c r="K92" s="226">
        <v>175</v>
      </c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>
        <v>17</v>
      </c>
      <c r="X92" s="191">
        <v>862</v>
      </c>
    </row>
    <row r="93" spans="3:24" ht="16.5">
      <c r="C93" s="191">
        <v>12</v>
      </c>
      <c r="D93" s="226">
        <f t="shared" si="3"/>
        <v>2060</v>
      </c>
      <c r="E93" s="226">
        <v>783</v>
      </c>
      <c r="F93" s="226"/>
      <c r="G93" s="226">
        <v>133</v>
      </c>
      <c r="H93" s="226"/>
      <c r="I93" s="226"/>
      <c r="J93" s="226">
        <v>143</v>
      </c>
      <c r="K93" s="226">
        <v>245</v>
      </c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>
        <v>12</v>
      </c>
      <c r="X93" s="191">
        <v>744</v>
      </c>
    </row>
    <row r="94" spans="2:24" ht="16.5">
      <c r="B94" s="4">
        <v>105</v>
      </c>
      <c r="C94" s="191">
        <v>1</v>
      </c>
      <c r="D94" s="226">
        <f t="shared" si="3"/>
        <v>2071</v>
      </c>
      <c r="E94" s="226">
        <v>798</v>
      </c>
      <c r="F94" s="226"/>
      <c r="G94" s="226">
        <v>91</v>
      </c>
      <c r="H94" s="226"/>
      <c r="I94" s="226"/>
      <c r="J94" s="226">
        <v>140</v>
      </c>
      <c r="K94" s="226">
        <v>223</v>
      </c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>
        <v>5</v>
      </c>
      <c r="X94" s="191">
        <v>814</v>
      </c>
    </row>
    <row r="95" spans="3:24" ht="16.5">
      <c r="C95" s="191">
        <v>2</v>
      </c>
      <c r="D95" s="226">
        <f t="shared" si="3"/>
        <v>990</v>
      </c>
      <c r="E95" s="226">
        <v>357</v>
      </c>
      <c r="F95" s="226"/>
      <c r="G95" s="226">
        <v>62</v>
      </c>
      <c r="H95" s="226"/>
      <c r="I95" s="226"/>
      <c r="J95" s="226">
        <v>47</v>
      </c>
      <c r="K95" s="226">
        <v>61</v>
      </c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>
        <v>1</v>
      </c>
      <c r="X95" s="191">
        <v>462</v>
      </c>
    </row>
    <row r="96" spans="3:24" ht="16.5">
      <c r="C96" s="191">
        <v>3</v>
      </c>
      <c r="D96" s="226">
        <f t="shared" si="3"/>
        <v>1926</v>
      </c>
      <c r="E96" s="226">
        <v>673</v>
      </c>
      <c r="F96" s="226"/>
      <c r="G96" s="226">
        <v>97</v>
      </c>
      <c r="H96" s="226"/>
      <c r="I96" s="226"/>
      <c r="J96" s="226">
        <v>123</v>
      </c>
      <c r="K96" s="226">
        <v>209</v>
      </c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>
        <v>15</v>
      </c>
      <c r="X96" s="191">
        <v>809</v>
      </c>
    </row>
    <row r="97" spans="3:24" ht="16.5">
      <c r="C97" s="191">
        <v>4</v>
      </c>
      <c r="D97" s="226">
        <f t="shared" si="3"/>
        <v>1695</v>
      </c>
      <c r="E97" s="226">
        <v>541</v>
      </c>
      <c r="F97" s="226"/>
      <c r="G97" s="226">
        <v>75</v>
      </c>
      <c r="H97" s="226"/>
      <c r="I97" s="226"/>
      <c r="J97" s="226">
        <v>92</v>
      </c>
      <c r="K97" s="226">
        <v>123</v>
      </c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>
        <v>11</v>
      </c>
      <c r="X97" s="191">
        <v>853</v>
      </c>
    </row>
    <row r="98" spans="3:24" ht="16.5">
      <c r="C98" s="191">
        <v>5</v>
      </c>
      <c r="D98" s="226">
        <f t="shared" si="3"/>
        <v>2061</v>
      </c>
      <c r="E98" s="226">
        <v>834</v>
      </c>
      <c r="F98" s="226"/>
      <c r="G98" s="226">
        <v>118</v>
      </c>
      <c r="H98" s="226"/>
      <c r="I98" s="226"/>
      <c r="J98" s="226">
        <v>81</v>
      </c>
      <c r="K98" s="226">
        <v>149</v>
      </c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>
        <v>17</v>
      </c>
      <c r="X98" s="191">
        <v>862</v>
      </c>
    </row>
    <row r="99" spans="3:24" ht="16.5">
      <c r="C99" s="191">
        <v>6</v>
      </c>
      <c r="D99" s="226">
        <f t="shared" si="3"/>
        <v>2662</v>
      </c>
      <c r="E99" s="226">
        <v>1179</v>
      </c>
      <c r="F99" s="226"/>
      <c r="G99" s="226">
        <v>116</v>
      </c>
      <c r="H99" s="226"/>
      <c r="I99" s="226"/>
      <c r="J99" s="226">
        <v>201</v>
      </c>
      <c r="K99" s="226">
        <v>236</v>
      </c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>
        <v>9</v>
      </c>
      <c r="X99" s="191">
        <v>921</v>
      </c>
    </row>
    <row r="100" spans="3:24" ht="16.5">
      <c r="C100" s="191">
        <v>7</v>
      </c>
      <c r="D100" s="226">
        <f t="shared" si="3"/>
        <v>709</v>
      </c>
      <c r="E100" s="226">
        <v>247</v>
      </c>
      <c r="F100" s="226"/>
      <c r="G100" s="226">
        <v>43</v>
      </c>
      <c r="H100" s="226"/>
      <c r="I100" s="226"/>
      <c r="J100" s="226">
        <v>49</v>
      </c>
      <c r="K100" s="226">
        <v>64</v>
      </c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>
        <v>7</v>
      </c>
      <c r="X100" s="191">
        <v>299</v>
      </c>
    </row>
    <row r="101" spans="3:24" ht="16.5">
      <c r="C101" s="191">
        <v>8</v>
      </c>
      <c r="D101" s="226">
        <f t="shared" si="3"/>
        <v>563</v>
      </c>
      <c r="E101" s="226">
        <v>189</v>
      </c>
      <c r="F101" s="226"/>
      <c r="G101" s="226">
        <v>51</v>
      </c>
      <c r="H101" s="226"/>
      <c r="I101" s="226"/>
      <c r="J101" s="226">
        <v>67</v>
      </c>
      <c r="K101" s="226">
        <v>60</v>
      </c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>
        <v>3</v>
      </c>
      <c r="X101" s="191">
        <v>193</v>
      </c>
    </row>
    <row r="102" spans="3:24" ht="16.5">
      <c r="C102" s="191">
        <v>9</v>
      </c>
      <c r="D102" s="226">
        <f t="shared" si="3"/>
        <v>2160</v>
      </c>
      <c r="E102" s="226">
        <v>911</v>
      </c>
      <c r="F102" s="226"/>
      <c r="G102" s="226">
        <v>77</v>
      </c>
      <c r="H102" s="226"/>
      <c r="I102" s="226"/>
      <c r="J102" s="226">
        <v>101</v>
      </c>
      <c r="K102" s="226">
        <v>278</v>
      </c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>
        <v>11</v>
      </c>
      <c r="X102" s="191">
        <v>782</v>
      </c>
    </row>
    <row r="103" spans="3:24" ht="16.5">
      <c r="C103" s="191">
        <v>10</v>
      </c>
      <c r="D103" s="226">
        <f t="shared" si="3"/>
        <v>2615</v>
      </c>
      <c r="E103" s="226">
        <v>951</v>
      </c>
      <c r="F103" s="226"/>
      <c r="G103" s="226">
        <v>237</v>
      </c>
      <c r="H103" s="226"/>
      <c r="I103" s="226"/>
      <c r="J103" s="226">
        <v>154</v>
      </c>
      <c r="K103" s="226">
        <v>207</v>
      </c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>
        <v>16</v>
      </c>
      <c r="X103" s="191">
        <v>1050</v>
      </c>
    </row>
    <row r="104" spans="3:24" ht="16.5">
      <c r="C104" s="191">
        <v>11</v>
      </c>
      <c r="D104" s="226">
        <f t="shared" si="3"/>
        <v>2196</v>
      </c>
      <c r="E104" s="226">
        <v>871</v>
      </c>
      <c r="F104" s="226"/>
      <c r="G104" s="226">
        <v>78</v>
      </c>
      <c r="H104" s="226"/>
      <c r="I104" s="226"/>
      <c r="J104" s="226">
        <v>242</v>
      </c>
      <c r="K104" s="226">
        <v>149</v>
      </c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>
        <v>15</v>
      </c>
      <c r="X104" s="191">
        <v>841</v>
      </c>
    </row>
    <row r="105" spans="3:24" ht="16.5">
      <c r="C105" s="191">
        <v>12</v>
      </c>
      <c r="D105" s="226">
        <f t="shared" si="3"/>
        <v>2244</v>
      </c>
      <c r="E105" s="226">
        <v>918</v>
      </c>
      <c r="F105" s="226"/>
      <c r="G105" s="226">
        <v>68</v>
      </c>
      <c r="H105" s="226"/>
      <c r="I105" s="226"/>
      <c r="J105" s="226">
        <v>147</v>
      </c>
      <c r="K105" s="226">
        <v>181</v>
      </c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>
        <v>11</v>
      </c>
      <c r="X105" s="191">
        <v>919</v>
      </c>
    </row>
    <row r="106" spans="2:24" ht="16.5">
      <c r="B106" s="4">
        <v>106</v>
      </c>
      <c r="C106" s="191">
        <v>1</v>
      </c>
      <c r="D106" s="226">
        <f aca="true" t="shared" si="4" ref="D106:D117">SUM(E106:X106)</f>
        <v>2309</v>
      </c>
      <c r="E106" s="226">
        <v>1050</v>
      </c>
      <c r="F106" s="226"/>
      <c r="G106" s="226">
        <v>87</v>
      </c>
      <c r="H106" s="226"/>
      <c r="I106" s="226"/>
      <c r="J106" s="226">
        <v>111</v>
      </c>
      <c r="K106" s="226">
        <v>204</v>
      </c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>
        <v>3</v>
      </c>
      <c r="X106" s="191">
        <v>854</v>
      </c>
    </row>
    <row r="107" spans="3:24" ht="16.5">
      <c r="C107" s="191">
        <v>2</v>
      </c>
      <c r="D107" s="226">
        <f t="shared" si="4"/>
        <v>1171</v>
      </c>
      <c r="E107" s="226">
        <v>470</v>
      </c>
      <c r="F107" s="226"/>
      <c r="G107" s="226">
        <v>30</v>
      </c>
      <c r="H107" s="226"/>
      <c r="I107" s="226"/>
      <c r="J107" s="226">
        <v>49</v>
      </c>
      <c r="K107" s="226">
        <v>99</v>
      </c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>
        <v>3</v>
      </c>
      <c r="X107" s="191">
        <v>520</v>
      </c>
    </row>
    <row r="108" spans="3:24" ht="16.5">
      <c r="C108" s="191">
        <v>3</v>
      </c>
      <c r="D108" s="226">
        <f t="shared" si="4"/>
        <v>2286</v>
      </c>
      <c r="E108" s="226">
        <v>1088</v>
      </c>
      <c r="F108" s="226"/>
      <c r="G108" s="226">
        <v>84</v>
      </c>
      <c r="H108" s="226"/>
      <c r="I108" s="226"/>
      <c r="J108" s="226">
        <v>108</v>
      </c>
      <c r="K108" s="226">
        <v>143</v>
      </c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>
        <v>17</v>
      </c>
      <c r="X108" s="191">
        <v>846</v>
      </c>
    </row>
    <row r="109" spans="3:24" ht="16.5">
      <c r="C109" s="191">
        <v>4</v>
      </c>
      <c r="D109" s="226">
        <f t="shared" si="4"/>
        <v>1673</v>
      </c>
      <c r="E109" s="226">
        <v>604</v>
      </c>
      <c r="F109" s="226"/>
      <c r="G109" s="226">
        <v>60</v>
      </c>
      <c r="H109" s="226"/>
      <c r="I109" s="226"/>
      <c r="J109" s="226">
        <v>107</v>
      </c>
      <c r="K109" s="226">
        <v>191</v>
      </c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>
        <v>9</v>
      </c>
      <c r="X109" s="191">
        <v>702</v>
      </c>
    </row>
    <row r="110" spans="3:24" ht="16.5">
      <c r="C110" s="191">
        <v>5</v>
      </c>
      <c r="D110" s="226">
        <f t="shared" si="4"/>
        <v>2003</v>
      </c>
      <c r="E110" s="226">
        <v>773</v>
      </c>
      <c r="F110" s="226"/>
      <c r="G110" s="226">
        <v>103</v>
      </c>
      <c r="H110" s="226"/>
      <c r="I110" s="226"/>
      <c r="J110" s="226">
        <v>92</v>
      </c>
      <c r="K110" s="226">
        <v>240</v>
      </c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>
        <v>0</v>
      </c>
      <c r="X110" s="191">
        <v>795</v>
      </c>
    </row>
    <row r="111" spans="3:24" ht="16.5">
      <c r="C111" s="191">
        <v>6</v>
      </c>
      <c r="D111" s="226">
        <f t="shared" si="4"/>
        <v>2657</v>
      </c>
      <c r="E111" s="226">
        <v>1129</v>
      </c>
      <c r="F111" s="226"/>
      <c r="G111" s="226">
        <v>126</v>
      </c>
      <c r="H111" s="226"/>
      <c r="I111" s="226"/>
      <c r="J111" s="226">
        <v>224</v>
      </c>
      <c r="K111" s="226">
        <v>224</v>
      </c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>
        <v>9</v>
      </c>
      <c r="X111" s="191">
        <v>945</v>
      </c>
    </row>
    <row r="112" spans="3:24" ht="16.5">
      <c r="C112" s="191">
        <v>7</v>
      </c>
      <c r="D112" s="226">
        <f t="shared" si="4"/>
        <v>558.6</v>
      </c>
      <c r="E112" s="226">
        <v>191</v>
      </c>
      <c r="F112" s="226"/>
      <c r="G112" s="226">
        <v>51.2</v>
      </c>
      <c r="H112" s="226"/>
      <c r="I112" s="226"/>
      <c r="J112" s="226">
        <v>15.6</v>
      </c>
      <c r="K112" s="226">
        <v>121</v>
      </c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>
        <v>9</v>
      </c>
      <c r="X112" s="191">
        <v>170.8</v>
      </c>
    </row>
    <row r="113" spans="3:24" ht="16.5">
      <c r="C113" s="191">
        <v>8</v>
      </c>
      <c r="D113" s="226">
        <f t="shared" si="4"/>
        <v>576</v>
      </c>
      <c r="E113" s="226">
        <v>240</v>
      </c>
      <c r="F113" s="226"/>
      <c r="G113" s="226">
        <v>16</v>
      </c>
      <c r="H113" s="226"/>
      <c r="I113" s="226"/>
      <c r="J113" s="226">
        <v>38.1</v>
      </c>
      <c r="K113" s="226">
        <v>112</v>
      </c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>
        <v>6</v>
      </c>
      <c r="X113" s="191">
        <v>163.9</v>
      </c>
    </row>
    <row r="114" spans="3:24" ht="16.5">
      <c r="C114" s="191">
        <v>9</v>
      </c>
      <c r="D114" s="226">
        <f t="shared" si="4"/>
        <v>1616.7</v>
      </c>
      <c r="E114" s="226">
        <v>628</v>
      </c>
      <c r="F114" s="226"/>
      <c r="G114" s="226">
        <v>97.1</v>
      </c>
      <c r="H114" s="226"/>
      <c r="I114" s="226"/>
      <c r="J114" s="226">
        <v>107.6</v>
      </c>
      <c r="K114" s="226">
        <v>173</v>
      </c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>
        <v>11</v>
      </c>
      <c r="X114" s="191">
        <v>600</v>
      </c>
    </row>
    <row r="115" spans="3:24" ht="16.5">
      <c r="C115" s="191">
        <v>10</v>
      </c>
      <c r="D115" s="226">
        <f t="shared" si="4"/>
        <v>1901.1999999999998</v>
      </c>
      <c r="E115" s="226">
        <v>780</v>
      </c>
      <c r="F115" s="226"/>
      <c r="G115" s="226">
        <v>107.4</v>
      </c>
      <c r="H115" s="226"/>
      <c r="I115" s="226"/>
      <c r="J115" s="226">
        <v>60.8</v>
      </c>
      <c r="K115" s="226">
        <v>174</v>
      </c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6">
        <v>18</v>
      </c>
      <c r="X115" s="191">
        <v>761</v>
      </c>
    </row>
    <row r="116" spans="3:24" ht="16.5">
      <c r="C116" s="191">
        <v>11</v>
      </c>
      <c r="D116" s="226">
        <f t="shared" si="4"/>
        <v>1962.9</v>
      </c>
      <c r="E116" s="226">
        <v>777</v>
      </c>
      <c r="F116" s="226"/>
      <c r="G116" s="226">
        <v>55.5</v>
      </c>
      <c r="H116" s="226"/>
      <c r="I116" s="226"/>
      <c r="J116" s="226">
        <v>155.4</v>
      </c>
      <c r="K116" s="226">
        <v>208</v>
      </c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191">
        <v>767</v>
      </c>
    </row>
    <row r="117" spans="3:24" ht="16.5">
      <c r="C117" s="191">
        <v>12</v>
      </c>
      <c r="D117" s="226">
        <f t="shared" si="4"/>
        <v>2098.1</v>
      </c>
      <c r="E117" s="226">
        <v>775</v>
      </c>
      <c r="F117" s="226"/>
      <c r="G117" s="226">
        <v>76.3</v>
      </c>
      <c r="H117" s="226"/>
      <c r="I117" s="226"/>
      <c r="J117" s="226">
        <v>169.8</v>
      </c>
      <c r="K117" s="226">
        <v>269</v>
      </c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191">
        <v>808</v>
      </c>
    </row>
    <row r="118" spans="2:24" ht="16.5">
      <c r="B118" s="4">
        <v>107</v>
      </c>
      <c r="C118" s="191">
        <v>1</v>
      </c>
      <c r="D118" s="226">
        <f aca="true" t="shared" si="5" ref="D118:D177">SUM(E118:X118)</f>
        <v>2199.8999999999996</v>
      </c>
      <c r="E118" s="226">
        <v>845</v>
      </c>
      <c r="F118" s="226"/>
      <c r="G118" s="226">
        <v>110.3</v>
      </c>
      <c r="H118" s="226"/>
      <c r="I118" s="226"/>
      <c r="J118" s="226">
        <v>187.6</v>
      </c>
      <c r="K118" s="226">
        <v>259</v>
      </c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191">
        <v>798</v>
      </c>
    </row>
    <row r="119" spans="3:24" ht="16.5">
      <c r="C119" s="191">
        <v>2</v>
      </c>
      <c r="D119" s="226">
        <f t="shared" si="5"/>
        <v>463.1</v>
      </c>
      <c r="E119" s="226">
        <v>120</v>
      </c>
      <c r="F119" s="226"/>
      <c r="G119" s="226">
        <v>22.5</v>
      </c>
      <c r="H119" s="226"/>
      <c r="I119" s="226"/>
      <c r="J119" s="226">
        <v>21.6</v>
      </c>
      <c r="K119" s="226">
        <v>66</v>
      </c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191">
        <v>233</v>
      </c>
    </row>
    <row r="120" spans="3:24" ht="16.5">
      <c r="C120" s="191">
        <v>3</v>
      </c>
      <c r="D120" s="226">
        <f t="shared" si="5"/>
        <v>1564.1</v>
      </c>
      <c r="E120" s="226">
        <v>844</v>
      </c>
      <c r="F120" s="226"/>
      <c r="G120" s="226">
        <v>67.6</v>
      </c>
      <c r="H120" s="226"/>
      <c r="I120" s="226"/>
      <c r="J120" s="226">
        <v>201.5</v>
      </c>
      <c r="K120" s="226">
        <v>218</v>
      </c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191">
        <v>233</v>
      </c>
    </row>
    <row r="121" spans="3:24" ht="16.5">
      <c r="C121" s="191">
        <v>4</v>
      </c>
      <c r="D121" s="226">
        <f t="shared" si="5"/>
        <v>1821.5</v>
      </c>
      <c r="E121" s="226">
        <v>741</v>
      </c>
      <c r="F121" s="226"/>
      <c r="G121" s="226">
        <v>52.7</v>
      </c>
      <c r="H121" s="226"/>
      <c r="I121" s="226"/>
      <c r="J121" s="226">
        <v>158.8</v>
      </c>
      <c r="K121" s="226">
        <v>222</v>
      </c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191">
        <v>647</v>
      </c>
    </row>
    <row r="122" spans="3:24" ht="16.5">
      <c r="C122" s="191">
        <v>5</v>
      </c>
      <c r="D122" s="226">
        <f t="shared" si="5"/>
        <v>2079.5</v>
      </c>
      <c r="E122" s="226">
        <v>717</v>
      </c>
      <c r="F122" s="226"/>
      <c r="G122" s="226">
        <v>51.7</v>
      </c>
      <c r="H122" s="226"/>
      <c r="I122" s="226"/>
      <c r="J122" s="226">
        <v>207.8</v>
      </c>
      <c r="K122" s="226">
        <v>221</v>
      </c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191">
        <v>882</v>
      </c>
    </row>
    <row r="123" spans="3:24" ht="16.5">
      <c r="C123" s="191">
        <v>6</v>
      </c>
      <c r="D123" s="226">
        <f t="shared" si="5"/>
        <v>2659.1</v>
      </c>
      <c r="E123" s="226">
        <v>978</v>
      </c>
      <c r="F123" s="226"/>
      <c r="G123" s="226">
        <v>167.8</v>
      </c>
      <c r="H123" s="226"/>
      <c r="I123" s="226"/>
      <c r="J123" s="226">
        <v>280.3</v>
      </c>
      <c r="K123" s="226">
        <v>323</v>
      </c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191">
        <v>910</v>
      </c>
    </row>
    <row r="124" spans="3:24" ht="16.5">
      <c r="C124" s="191">
        <v>7</v>
      </c>
      <c r="D124" s="226">
        <f t="shared" si="5"/>
        <v>1371.7</v>
      </c>
      <c r="E124" s="226">
        <v>654</v>
      </c>
      <c r="F124" s="226"/>
      <c r="G124" s="226">
        <v>76.5</v>
      </c>
      <c r="H124" s="226"/>
      <c r="I124" s="226"/>
      <c r="J124" s="226">
        <v>64.2</v>
      </c>
      <c r="K124" s="226">
        <v>202</v>
      </c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191">
        <v>375</v>
      </c>
    </row>
    <row r="125" spans="3:24" ht="16.5">
      <c r="C125" s="191">
        <v>8</v>
      </c>
      <c r="D125" s="226">
        <f t="shared" si="5"/>
        <v>815</v>
      </c>
      <c r="E125" s="226">
        <v>399</v>
      </c>
      <c r="F125" s="226"/>
      <c r="G125" s="226">
        <v>44</v>
      </c>
      <c r="H125" s="226"/>
      <c r="I125" s="226"/>
      <c r="J125" s="226">
        <v>52</v>
      </c>
      <c r="K125" s="226">
        <v>167</v>
      </c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191">
        <v>153</v>
      </c>
    </row>
    <row r="126" spans="3:24" ht="16.5">
      <c r="C126" s="191">
        <v>9</v>
      </c>
      <c r="D126" s="226">
        <f t="shared" si="5"/>
        <v>2116.1</v>
      </c>
      <c r="E126" s="226">
        <v>845</v>
      </c>
      <c r="F126" s="226"/>
      <c r="G126" s="226">
        <v>155.1</v>
      </c>
      <c r="H126" s="226"/>
      <c r="I126" s="226"/>
      <c r="J126" s="226">
        <v>180</v>
      </c>
      <c r="K126" s="226">
        <v>216</v>
      </c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191">
        <v>720</v>
      </c>
    </row>
    <row r="127" spans="3:24" ht="16.5">
      <c r="C127" s="191">
        <v>10</v>
      </c>
      <c r="D127" s="226">
        <f t="shared" si="5"/>
        <v>1299.4</v>
      </c>
      <c r="E127" s="226">
        <v>495.5</v>
      </c>
      <c r="F127" s="226"/>
      <c r="G127" s="226">
        <v>52.8</v>
      </c>
      <c r="H127" s="226"/>
      <c r="I127" s="226"/>
      <c r="J127" s="226">
        <v>56.1</v>
      </c>
      <c r="K127" s="226">
        <v>18</v>
      </c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191">
        <v>677</v>
      </c>
    </row>
    <row r="128" spans="3:24" ht="16.5">
      <c r="C128" s="191">
        <v>11</v>
      </c>
      <c r="D128" s="226">
        <f t="shared" si="5"/>
        <v>1818</v>
      </c>
      <c r="E128" s="226">
        <v>752</v>
      </c>
      <c r="F128" s="226"/>
      <c r="G128" s="226">
        <v>79</v>
      </c>
      <c r="H128" s="226"/>
      <c r="I128" s="226"/>
      <c r="J128" s="226">
        <v>150</v>
      </c>
      <c r="K128" s="226">
        <v>176</v>
      </c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191">
        <v>661</v>
      </c>
    </row>
    <row r="129" spans="3:24" ht="16.5">
      <c r="C129" s="191">
        <v>12</v>
      </c>
      <c r="D129" s="226">
        <f t="shared" si="5"/>
        <v>1651</v>
      </c>
      <c r="E129" s="226">
        <v>761</v>
      </c>
      <c r="F129" s="226"/>
      <c r="G129" s="226">
        <v>28</v>
      </c>
      <c r="H129" s="226"/>
      <c r="I129" s="226"/>
      <c r="J129" s="226">
        <v>142</v>
      </c>
      <c r="K129" s="226">
        <v>125</v>
      </c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191">
        <v>595</v>
      </c>
    </row>
    <row r="130" spans="2:24" ht="16.5">
      <c r="B130" s="4">
        <v>108</v>
      </c>
      <c r="C130" s="191">
        <v>1</v>
      </c>
      <c r="D130" s="226">
        <f aca="true" t="shared" si="6" ref="D130:D140">SUM(E130:X130)</f>
        <v>1245.6</v>
      </c>
      <c r="E130" s="277">
        <v>581</v>
      </c>
      <c r="F130" s="226"/>
      <c r="G130" s="226">
        <v>63</v>
      </c>
      <c r="H130" s="226"/>
      <c r="I130" s="226"/>
      <c r="J130" s="226">
        <v>116.6</v>
      </c>
      <c r="K130" s="226">
        <v>35</v>
      </c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77">
        <v>450</v>
      </c>
    </row>
    <row r="131" spans="3:24" ht="16.5">
      <c r="C131" s="191">
        <v>2</v>
      </c>
      <c r="D131" s="226">
        <f t="shared" si="6"/>
        <v>790</v>
      </c>
      <c r="E131" s="277">
        <v>357</v>
      </c>
      <c r="F131" s="226"/>
      <c r="G131" s="226">
        <v>23</v>
      </c>
      <c r="H131" s="226"/>
      <c r="I131" s="226"/>
      <c r="J131" s="226">
        <v>58</v>
      </c>
      <c r="K131" s="226">
        <v>10</v>
      </c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77">
        <v>342</v>
      </c>
    </row>
    <row r="132" spans="3:24" ht="16.5">
      <c r="C132" s="191">
        <v>3</v>
      </c>
      <c r="D132" s="226">
        <f t="shared" si="6"/>
        <v>1587</v>
      </c>
      <c r="E132" s="277">
        <v>780</v>
      </c>
      <c r="F132" s="226"/>
      <c r="G132" s="226">
        <v>49</v>
      </c>
      <c r="H132" s="226"/>
      <c r="I132" s="226"/>
      <c r="J132" s="226">
        <v>136</v>
      </c>
      <c r="K132" s="226">
        <v>48</v>
      </c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77">
        <v>574</v>
      </c>
    </row>
    <row r="133" spans="3:24" ht="16.5">
      <c r="C133" s="191">
        <v>4</v>
      </c>
      <c r="D133" s="226">
        <f t="shared" si="6"/>
        <v>1677.5</v>
      </c>
      <c r="E133" s="277">
        <v>915</v>
      </c>
      <c r="F133" s="226"/>
      <c r="G133" s="226">
        <v>28.5</v>
      </c>
      <c r="H133" s="226"/>
      <c r="I133" s="226"/>
      <c r="J133" s="226">
        <v>43</v>
      </c>
      <c r="K133" s="226">
        <v>9</v>
      </c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77">
        <v>682</v>
      </c>
    </row>
    <row r="134" spans="3:24" ht="16.5">
      <c r="C134" s="191">
        <v>5</v>
      </c>
      <c r="D134" s="226">
        <f t="shared" si="6"/>
        <v>2546</v>
      </c>
      <c r="E134" s="277">
        <v>1719</v>
      </c>
      <c r="F134" s="226"/>
      <c r="G134" s="226">
        <v>38</v>
      </c>
      <c r="H134" s="226"/>
      <c r="I134" s="226"/>
      <c r="J134" s="226">
        <v>116.5</v>
      </c>
      <c r="K134" s="226">
        <v>23.5</v>
      </c>
      <c r="L134" s="226"/>
      <c r="M134" s="226"/>
      <c r="N134" s="226"/>
      <c r="O134" s="226"/>
      <c r="P134" s="226"/>
      <c r="Q134" s="226"/>
      <c r="R134" s="226"/>
      <c r="S134" s="226">
        <v>1</v>
      </c>
      <c r="T134" s="226"/>
      <c r="U134" s="226"/>
      <c r="V134" s="226"/>
      <c r="W134" s="226"/>
      <c r="X134" s="277">
        <v>648</v>
      </c>
    </row>
    <row r="135" spans="3:24" ht="16.5">
      <c r="C135" s="191">
        <v>6</v>
      </c>
      <c r="D135" s="226">
        <f t="shared" si="6"/>
        <v>2107</v>
      </c>
      <c r="E135" s="277">
        <v>1683</v>
      </c>
      <c r="F135" s="226"/>
      <c r="G135" s="226">
        <v>126</v>
      </c>
      <c r="H135" s="226"/>
      <c r="I135" s="226"/>
      <c r="J135" s="226">
        <v>212.5</v>
      </c>
      <c r="K135" s="226">
        <v>7.5</v>
      </c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77">
        <v>78</v>
      </c>
    </row>
    <row r="136" spans="3:24" ht="16.5">
      <c r="C136" s="191">
        <v>7</v>
      </c>
      <c r="D136" s="226">
        <f t="shared" si="6"/>
        <v>1101.5</v>
      </c>
      <c r="E136" s="277">
        <v>499</v>
      </c>
      <c r="F136" s="226"/>
      <c r="G136" s="226">
        <v>41</v>
      </c>
      <c r="H136" s="226"/>
      <c r="I136" s="226"/>
      <c r="J136" s="226">
        <v>90.5</v>
      </c>
      <c r="K136" s="226">
        <v>31</v>
      </c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77">
        <v>440</v>
      </c>
    </row>
    <row r="137" spans="3:24" ht="16.5">
      <c r="C137" s="191">
        <v>8</v>
      </c>
      <c r="D137" s="226">
        <f t="shared" si="6"/>
        <v>879.5</v>
      </c>
      <c r="E137" s="277">
        <v>441</v>
      </c>
      <c r="F137" s="226"/>
      <c r="G137" s="226">
        <v>60</v>
      </c>
      <c r="H137" s="226"/>
      <c r="I137" s="226"/>
      <c r="J137" s="226">
        <v>47.5</v>
      </c>
      <c r="K137" s="226">
        <v>55</v>
      </c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77">
        <v>276</v>
      </c>
    </row>
    <row r="138" spans="3:24" ht="16.5">
      <c r="C138" s="191">
        <v>9</v>
      </c>
      <c r="D138" s="226">
        <f t="shared" si="6"/>
        <v>1063.5</v>
      </c>
      <c r="E138" s="277">
        <v>368.5</v>
      </c>
      <c r="F138" s="226"/>
      <c r="G138" s="226">
        <v>71</v>
      </c>
      <c r="H138" s="226"/>
      <c r="I138" s="226"/>
      <c r="J138" s="226">
        <v>160</v>
      </c>
      <c r="K138" s="226">
        <v>33</v>
      </c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77">
        <v>431</v>
      </c>
    </row>
    <row r="139" spans="3:24" ht="16.5">
      <c r="C139" s="191">
        <v>10</v>
      </c>
      <c r="D139" s="226">
        <f t="shared" si="6"/>
        <v>665</v>
      </c>
      <c r="E139" s="277">
        <v>301.4</v>
      </c>
      <c r="F139" s="226"/>
      <c r="G139" s="226">
        <v>74.2</v>
      </c>
      <c r="H139" s="226"/>
      <c r="I139" s="226"/>
      <c r="J139" s="226">
        <v>48</v>
      </c>
      <c r="K139" s="226">
        <v>29</v>
      </c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77">
        <v>212.4</v>
      </c>
    </row>
    <row r="140" spans="3:24" ht="16.5">
      <c r="C140" s="191">
        <v>11</v>
      </c>
      <c r="D140" s="226">
        <f t="shared" si="6"/>
        <v>1468.4</v>
      </c>
      <c r="E140" s="277">
        <v>854</v>
      </c>
      <c r="F140" s="226"/>
      <c r="G140" s="226">
        <v>82.5</v>
      </c>
      <c r="H140" s="226"/>
      <c r="I140" s="226"/>
      <c r="J140" s="226">
        <v>35.6</v>
      </c>
      <c r="K140" s="226">
        <v>45.3</v>
      </c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77">
        <v>451</v>
      </c>
    </row>
    <row r="141" spans="3:24" ht="16.5">
      <c r="C141" s="191">
        <v>12</v>
      </c>
      <c r="D141" s="226">
        <f t="shared" si="5"/>
        <v>1085.1</v>
      </c>
      <c r="E141" s="277">
        <v>632</v>
      </c>
      <c r="F141" s="226"/>
      <c r="G141" s="226">
        <v>67.6</v>
      </c>
      <c r="H141" s="226"/>
      <c r="I141" s="226"/>
      <c r="J141" s="226">
        <v>62.7</v>
      </c>
      <c r="K141" s="226">
        <v>34.8</v>
      </c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77">
        <v>288</v>
      </c>
    </row>
    <row r="142" spans="2:24" ht="16.5">
      <c r="B142" s="4">
        <v>109</v>
      </c>
      <c r="C142" s="191">
        <v>1</v>
      </c>
      <c r="D142" s="226">
        <f t="shared" si="5"/>
        <v>932.4</v>
      </c>
      <c r="E142" s="277">
        <v>397</v>
      </c>
      <c r="F142" s="226"/>
      <c r="G142" s="226">
        <v>125.4</v>
      </c>
      <c r="H142" s="226"/>
      <c r="I142" s="226"/>
      <c r="J142" s="226">
        <v>211</v>
      </c>
      <c r="K142" s="226">
        <v>22</v>
      </c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191">
        <v>177</v>
      </c>
    </row>
    <row r="143" spans="3:24" ht="16.5">
      <c r="C143" s="191">
        <v>2</v>
      </c>
      <c r="D143" s="226">
        <f t="shared" si="5"/>
        <v>432.5</v>
      </c>
      <c r="E143" s="277">
        <v>215.9</v>
      </c>
      <c r="F143" s="226"/>
      <c r="G143" s="226">
        <v>79.3</v>
      </c>
      <c r="H143" s="226"/>
      <c r="I143" s="226"/>
      <c r="J143" s="226">
        <v>45.7</v>
      </c>
      <c r="K143" s="226">
        <v>14.2</v>
      </c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191">
        <v>77.4</v>
      </c>
    </row>
    <row r="144" spans="3:24" ht="16.5">
      <c r="C144" s="191">
        <v>3</v>
      </c>
      <c r="D144" s="226">
        <f t="shared" si="5"/>
        <v>763.9</v>
      </c>
      <c r="E144" s="277">
        <v>269</v>
      </c>
      <c r="F144" s="226"/>
      <c r="G144" s="226">
        <v>118.4</v>
      </c>
      <c r="H144" s="226"/>
      <c r="I144" s="226"/>
      <c r="J144" s="226">
        <v>93.5</v>
      </c>
      <c r="K144" s="226">
        <v>11</v>
      </c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191">
        <v>272</v>
      </c>
    </row>
    <row r="145" spans="3:24" ht="16.5">
      <c r="C145" s="191">
        <v>4</v>
      </c>
      <c r="D145" s="226">
        <f t="shared" si="5"/>
        <v>1063.6</v>
      </c>
      <c r="E145" s="277">
        <v>519</v>
      </c>
      <c r="F145" s="226"/>
      <c r="G145" s="226">
        <v>78.6</v>
      </c>
      <c r="H145" s="226"/>
      <c r="I145" s="226"/>
      <c r="J145" s="226">
        <v>80</v>
      </c>
      <c r="K145" s="226">
        <v>13</v>
      </c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191">
        <v>373</v>
      </c>
    </row>
    <row r="146" spans="3:24" ht="16.5">
      <c r="C146" s="191">
        <v>5</v>
      </c>
      <c r="D146" s="226">
        <f t="shared" si="5"/>
        <v>701.9</v>
      </c>
      <c r="E146" s="277">
        <v>297.5</v>
      </c>
      <c r="F146" s="226"/>
      <c r="G146" s="226">
        <v>39.7</v>
      </c>
      <c r="H146" s="226"/>
      <c r="I146" s="226"/>
      <c r="J146" s="226">
        <v>43.2</v>
      </c>
      <c r="K146" s="226">
        <v>17</v>
      </c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191">
        <v>304.5</v>
      </c>
    </row>
    <row r="147" spans="3:24" ht="16.5">
      <c r="C147" s="191">
        <v>6</v>
      </c>
      <c r="D147" s="226">
        <f t="shared" si="5"/>
        <v>672.5</v>
      </c>
      <c r="E147" s="277">
        <v>285</v>
      </c>
      <c r="F147" s="226"/>
      <c r="G147" s="226">
        <v>45.5</v>
      </c>
      <c r="H147" s="226"/>
      <c r="I147" s="226"/>
      <c r="J147" s="226">
        <v>87.5</v>
      </c>
      <c r="K147" s="226">
        <v>34.5</v>
      </c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191">
        <v>220</v>
      </c>
    </row>
    <row r="148" spans="3:24" ht="16.5">
      <c r="C148" s="191">
        <v>7</v>
      </c>
      <c r="D148" s="226">
        <f t="shared" si="5"/>
        <v>657.5</v>
      </c>
      <c r="E148" s="277">
        <v>224</v>
      </c>
      <c r="F148" s="226"/>
      <c r="G148" s="226">
        <v>106.5</v>
      </c>
      <c r="H148" s="226"/>
      <c r="I148" s="226"/>
      <c r="J148" s="226">
        <v>106</v>
      </c>
      <c r="K148" s="226">
        <v>50</v>
      </c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191">
        <v>171</v>
      </c>
    </row>
    <row r="149" spans="3:24" ht="16.5">
      <c r="C149" s="191">
        <v>8</v>
      </c>
      <c r="D149" s="226">
        <f t="shared" si="5"/>
        <v>397.1</v>
      </c>
      <c r="E149" s="277">
        <v>110.5</v>
      </c>
      <c r="F149" s="226"/>
      <c r="G149" s="226">
        <v>34.3</v>
      </c>
      <c r="H149" s="226"/>
      <c r="I149" s="226"/>
      <c r="J149" s="226">
        <v>64.5</v>
      </c>
      <c r="K149" s="226">
        <v>35.8</v>
      </c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191">
        <v>152</v>
      </c>
    </row>
    <row r="150" spans="3:24" ht="16.5">
      <c r="C150" s="191">
        <v>9</v>
      </c>
      <c r="D150" s="226">
        <f t="shared" si="5"/>
        <v>839</v>
      </c>
      <c r="E150" s="277">
        <v>161.7</v>
      </c>
      <c r="F150" s="226"/>
      <c r="G150" s="226">
        <v>77.8</v>
      </c>
      <c r="H150" s="226"/>
      <c r="I150" s="226"/>
      <c r="J150" s="226">
        <v>118.5</v>
      </c>
      <c r="K150" s="226">
        <v>51</v>
      </c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6"/>
      <c r="X150" s="191">
        <v>430</v>
      </c>
    </row>
    <row r="151" spans="3:24" ht="16.5">
      <c r="C151" s="191">
        <v>10</v>
      </c>
      <c r="D151" s="226">
        <f t="shared" si="5"/>
        <v>1065</v>
      </c>
      <c r="E151" s="277">
        <v>122.5</v>
      </c>
      <c r="F151" s="226"/>
      <c r="G151" s="226">
        <v>95.5</v>
      </c>
      <c r="H151" s="226"/>
      <c r="I151" s="226"/>
      <c r="J151" s="226">
        <v>110</v>
      </c>
      <c r="K151" s="226">
        <v>54</v>
      </c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  <c r="X151" s="191">
        <v>683</v>
      </c>
    </row>
    <row r="152" spans="3:24" ht="16.5">
      <c r="C152" s="191">
        <v>11</v>
      </c>
      <c r="D152" s="226">
        <f t="shared" si="5"/>
        <v>1174</v>
      </c>
      <c r="E152" s="277">
        <v>118.4</v>
      </c>
      <c r="F152" s="226"/>
      <c r="G152" s="226">
        <v>91.5</v>
      </c>
      <c r="H152" s="226"/>
      <c r="I152" s="226"/>
      <c r="J152" s="226">
        <v>103.6</v>
      </c>
      <c r="K152" s="226">
        <v>54.5</v>
      </c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  <c r="X152" s="191">
        <v>806</v>
      </c>
    </row>
    <row r="153" spans="3:24" ht="16.5">
      <c r="C153" s="191">
        <v>12</v>
      </c>
      <c r="D153" s="226">
        <f t="shared" si="5"/>
        <v>1604</v>
      </c>
      <c r="E153" s="277">
        <v>137.5</v>
      </c>
      <c r="F153" s="226"/>
      <c r="G153" s="226">
        <v>146</v>
      </c>
      <c r="H153" s="226"/>
      <c r="I153" s="226"/>
      <c r="J153" s="226">
        <v>126</v>
      </c>
      <c r="K153" s="226">
        <v>105.5</v>
      </c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191">
        <v>1089</v>
      </c>
    </row>
    <row r="154" spans="2:24" ht="16.5">
      <c r="B154" s="4">
        <v>110</v>
      </c>
      <c r="C154" s="191">
        <v>1</v>
      </c>
      <c r="D154" s="226">
        <f t="shared" si="5"/>
        <v>952.6</v>
      </c>
      <c r="E154" s="277">
        <v>101.6</v>
      </c>
      <c r="F154" s="226"/>
      <c r="G154" s="277">
        <v>78.5</v>
      </c>
      <c r="H154" s="226"/>
      <c r="I154" s="226"/>
      <c r="J154" s="277">
        <v>85.5</v>
      </c>
      <c r="K154" s="226">
        <v>63</v>
      </c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191">
        <v>624</v>
      </c>
    </row>
    <row r="155" spans="3:24" ht="16.5">
      <c r="C155" s="191">
        <v>2</v>
      </c>
      <c r="D155" s="226">
        <f t="shared" si="5"/>
        <v>371</v>
      </c>
      <c r="E155" s="277">
        <v>45.5</v>
      </c>
      <c r="F155" s="226"/>
      <c r="G155" s="277">
        <v>39.5</v>
      </c>
      <c r="H155" s="226"/>
      <c r="I155" s="226"/>
      <c r="J155" s="277">
        <v>39.5</v>
      </c>
      <c r="K155" s="226">
        <v>17.5</v>
      </c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191">
        <v>229</v>
      </c>
    </row>
    <row r="156" spans="3:24" ht="16.5">
      <c r="C156" s="191">
        <v>3</v>
      </c>
      <c r="D156" s="226">
        <f t="shared" si="5"/>
        <v>1002.8</v>
      </c>
      <c r="E156" s="277">
        <v>109.5</v>
      </c>
      <c r="F156" s="226"/>
      <c r="G156" s="277">
        <v>102.8</v>
      </c>
      <c r="H156" s="226"/>
      <c r="I156" s="226"/>
      <c r="J156" s="277">
        <v>113.5</v>
      </c>
      <c r="K156" s="226">
        <v>24</v>
      </c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6"/>
      <c r="X156" s="191">
        <v>653</v>
      </c>
    </row>
    <row r="157" spans="3:24" ht="16.5">
      <c r="C157" s="191">
        <v>4</v>
      </c>
      <c r="D157" s="226">
        <f t="shared" si="5"/>
        <v>792.5</v>
      </c>
      <c r="E157" s="277">
        <v>102</v>
      </c>
      <c r="F157" s="226"/>
      <c r="G157" s="277">
        <v>72.5</v>
      </c>
      <c r="H157" s="226"/>
      <c r="I157" s="226"/>
      <c r="J157" s="277">
        <v>94.5</v>
      </c>
      <c r="K157" s="226">
        <v>31.5</v>
      </c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191">
        <v>492</v>
      </c>
    </row>
    <row r="158" spans="3:24" ht="16.5">
      <c r="C158" s="191">
        <v>5</v>
      </c>
      <c r="D158" s="226">
        <f t="shared" si="5"/>
        <v>879.5</v>
      </c>
      <c r="E158" s="277">
        <v>111</v>
      </c>
      <c r="F158" s="226"/>
      <c r="G158" s="277">
        <v>81.5</v>
      </c>
      <c r="H158" s="226"/>
      <c r="I158" s="226"/>
      <c r="J158" s="277">
        <v>77.5</v>
      </c>
      <c r="K158" s="226">
        <v>52.5</v>
      </c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191">
        <v>557</v>
      </c>
    </row>
    <row r="159" spans="3:24" ht="16.5">
      <c r="C159" s="191">
        <v>6</v>
      </c>
      <c r="D159" s="226">
        <f t="shared" si="5"/>
        <v>748</v>
      </c>
      <c r="E159" s="277">
        <v>87</v>
      </c>
      <c r="F159" s="226"/>
      <c r="G159" s="277">
        <v>77</v>
      </c>
      <c r="H159" s="226"/>
      <c r="I159" s="226"/>
      <c r="J159" s="277">
        <v>50.5</v>
      </c>
      <c r="K159" s="226">
        <v>56.5</v>
      </c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191">
        <v>477</v>
      </c>
    </row>
    <row r="160" spans="3:24" ht="16.5">
      <c r="C160" s="191">
        <v>7</v>
      </c>
      <c r="D160" s="226">
        <f t="shared" si="5"/>
        <v>509.8</v>
      </c>
      <c r="E160" s="277">
        <v>48</v>
      </c>
      <c r="F160" s="226"/>
      <c r="G160" s="277">
        <v>36.5</v>
      </c>
      <c r="H160" s="226"/>
      <c r="I160" s="226"/>
      <c r="J160" s="277">
        <v>19.5</v>
      </c>
      <c r="K160" s="226">
        <v>35.8</v>
      </c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191">
        <v>370</v>
      </c>
    </row>
    <row r="161" spans="3:24" ht="16.5">
      <c r="C161" s="191">
        <v>8</v>
      </c>
      <c r="D161" s="226">
        <f t="shared" si="5"/>
        <v>367.8</v>
      </c>
      <c r="E161" s="277">
        <v>40.3</v>
      </c>
      <c r="F161" s="226"/>
      <c r="G161" s="277">
        <v>30.7</v>
      </c>
      <c r="H161" s="226"/>
      <c r="I161" s="226"/>
      <c r="J161" s="277">
        <v>19.5</v>
      </c>
      <c r="K161" s="226">
        <v>25.3</v>
      </c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191">
        <v>252</v>
      </c>
    </row>
    <row r="162" spans="3:24" ht="16.5">
      <c r="C162" s="191">
        <v>9</v>
      </c>
      <c r="D162" s="226">
        <f t="shared" si="5"/>
        <v>401.1</v>
      </c>
      <c r="E162" s="277">
        <v>69.5</v>
      </c>
      <c r="F162" s="226"/>
      <c r="G162" s="277">
        <v>36.7</v>
      </c>
      <c r="H162" s="226"/>
      <c r="I162" s="226"/>
      <c r="J162" s="277">
        <v>26</v>
      </c>
      <c r="K162" s="226">
        <v>39.9</v>
      </c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191">
        <v>229</v>
      </c>
    </row>
    <row r="163" spans="3:24" ht="16.5">
      <c r="C163" s="191">
        <v>10</v>
      </c>
      <c r="D163" s="226">
        <f t="shared" si="5"/>
        <v>624</v>
      </c>
      <c r="E163" s="277">
        <v>168</v>
      </c>
      <c r="F163" s="226"/>
      <c r="G163" s="277">
        <v>46.5</v>
      </c>
      <c r="H163" s="226"/>
      <c r="I163" s="226"/>
      <c r="J163" s="277">
        <v>40.5</v>
      </c>
      <c r="K163" s="226">
        <v>50</v>
      </c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191">
        <v>319</v>
      </c>
    </row>
    <row r="164" spans="3:24" ht="16.5">
      <c r="C164" s="191">
        <v>11</v>
      </c>
      <c r="D164" s="226">
        <f t="shared" si="5"/>
        <v>610.5</v>
      </c>
      <c r="E164" s="277">
        <v>131</v>
      </c>
      <c r="F164" s="226"/>
      <c r="G164" s="277">
        <v>61.5</v>
      </c>
      <c r="H164" s="226"/>
      <c r="I164" s="226"/>
      <c r="J164" s="277">
        <v>43.5</v>
      </c>
      <c r="K164" s="226">
        <v>51.5</v>
      </c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6"/>
      <c r="X164" s="191">
        <v>323</v>
      </c>
    </row>
    <row r="165" spans="3:24" ht="16.5">
      <c r="C165" s="191">
        <v>12</v>
      </c>
      <c r="D165" s="226">
        <f t="shared" si="5"/>
        <v>694</v>
      </c>
      <c r="E165" s="277">
        <v>120</v>
      </c>
      <c r="F165" s="226"/>
      <c r="G165" s="277">
        <v>62.5</v>
      </c>
      <c r="H165" s="226"/>
      <c r="I165" s="226"/>
      <c r="J165" s="277">
        <v>54.5</v>
      </c>
      <c r="K165" s="226">
        <v>62</v>
      </c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191">
        <v>395</v>
      </c>
    </row>
    <row r="166" spans="2:24" ht="16.5">
      <c r="B166" s="4">
        <v>111</v>
      </c>
      <c r="C166" s="191">
        <v>1</v>
      </c>
      <c r="D166" s="226">
        <f t="shared" si="5"/>
        <v>0</v>
      </c>
      <c r="E166" s="277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191"/>
    </row>
    <row r="167" spans="3:24" ht="16.5">
      <c r="C167" s="191">
        <v>2</v>
      </c>
      <c r="D167" s="226">
        <f t="shared" si="5"/>
        <v>0</v>
      </c>
      <c r="E167" s="277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  <c r="X167" s="191"/>
    </row>
    <row r="168" spans="3:24" ht="16.5">
      <c r="C168" s="191">
        <v>3</v>
      </c>
      <c r="D168" s="226">
        <f t="shared" si="5"/>
        <v>0</v>
      </c>
      <c r="E168" s="277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191"/>
    </row>
    <row r="169" spans="3:24" ht="16.5">
      <c r="C169" s="191">
        <v>4</v>
      </c>
      <c r="D169" s="226">
        <f t="shared" si="5"/>
        <v>0</v>
      </c>
      <c r="E169" s="277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  <c r="X169" s="191"/>
    </row>
    <row r="170" spans="3:24" ht="16.5">
      <c r="C170" s="191">
        <v>5</v>
      </c>
      <c r="D170" s="226">
        <f t="shared" si="5"/>
        <v>0</v>
      </c>
      <c r="E170" s="277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191"/>
    </row>
    <row r="171" spans="3:24" ht="16.5">
      <c r="C171" s="191">
        <v>6</v>
      </c>
      <c r="D171" s="226">
        <f t="shared" si="5"/>
        <v>0</v>
      </c>
      <c r="E171" s="277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191"/>
    </row>
    <row r="172" spans="3:24" ht="16.5">
      <c r="C172" s="191">
        <v>7</v>
      </c>
      <c r="D172" s="226">
        <f t="shared" si="5"/>
        <v>0</v>
      </c>
      <c r="E172" s="277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191"/>
    </row>
    <row r="173" spans="3:24" ht="16.5">
      <c r="C173" s="191">
        <v>8</v>
      </c>
      <c r="D173" s="226">
        <f t="shared" si="5"/>
        <v>0</v>
      </c>
      <c r="E173" s="277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  <c r="X173" s="191"/>
    </row>
    <row r="174" spans="3:24" ht="16.5">
      <c r="C174" s="191">
        <v>9</v>
      </c>
      <c r="D174" s="226">
        <f t="shared" si="5"/>
        <v>0</v>
      </c>
      <c r="E174" s="277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191"/>
    </row>
    <row r="175" spans="3:24" ht="16.5">
      <c r="C175" s="191">
        <v>10</v>
      </c>
      <c r="D175" s="226">
        <f t="shared" si="5"/>
        <v>0</v>
      </c>
      <c r="E175" s="277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  <c r="X175" s="191"/>
    </row>
    <row r="176" spans="3:24" ht="16.5">
      <c r="C176" s="191">
        <v>11</v>
      </c>
      <c r="D176" s="226">
        <f t="shared" si="5"/>
        <v>0</v>
      </c>
      <c r="E176" s="277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191"/>
    </row>
    <row r="177" spans="3:24" ht="16.5">
      <c r="C177" s="191">
        <v>12</v>
      </c>
      <c r="D177" s="226">
        <f t="shared" si="5"/>
        <v>0</v>
      </c>
      <c r="E177" s="277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191"/>
    </row>
  </sheetData>
  <sheetProtection/>
  <printOptions horizontalCentered="1" verticalCentered="1"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F66"/>
  <sheetViews>
    <sheetView zoomScalePageLayoutView="0" workbookViewId="0" topLeftCell="A33">
      <selection activeCell="C46" sqref="C46"/>
    </sheetView>
  </sheetViews>
  <sheetFormatPr defaultColWidth="9.00390625" defaultRowHeight="16.5"/>
  <cols>
    <col min="3" max="3" width="11.125" style="121" bestFit="1" customWidth="1"/>
  </cols>
  <sheetData>
    <row r="1" ht="16.5">
      <c r="B1" t="s">
        <v>53</v>
      </c>
    </row>
    <row r="3" spans="2:6" ht="16.5">
      <c r="B3">
        <v>9708</v>
      </c>
      <c r="C3" s="121">
        <v>0</v>
      </c>
      <c r="E3" s="120"/>
      <c r="F3" s="120"/>
    </row>
    <row r="4" spans="2:6" ht="16.5">
      <c r="B4">
        <v>9709</v>
      </c>
      <c r="C4" s="121">
        <v>2624</v>
      </c>
      <c r="E4" s="120"/>
      <c r="F4" s="120"/>
    </row>
    <row r="5" spans="2:6" ht="16.5">
      <c r="B5">
        <v>9710</v>
      </c>
      <c r="C5" s="121">
        <v>9333</v>
      </c>
      <c r="E5" s="120"/>
      <c r="F5" s="120"/>
    </row>
    <row r="6" spans="2:6" ht="16.5">
      <c r="B6">
        <v>9711</v>
      </c>
      <c r="C6" s="121">
        <v>3890</v>
      </c>
      <c r="E6" s="120"/>
      <c r="F6" s="120"/>
    </row>
    <row r="7" spans="2:6" ht="16.5">
      <c r="B7">
        <v>9712</v>
      </c>
      <c r="C7" s="121">
        <v>4141</v>
      </c>
      <c r="E7" s="120"/>
      <c r="F7" s="120"/>
    </row>
    <row r="8" spans="2:6" ht="16.5">
      <c r="B8">
        <v>9801</v>
      </c>
      <c r="C8" s="121">
        <f>540+2850</f>
        <v>3390</v>
      </c>
      <c r="E8" s="120"/>
      <c r="F8" s="120"/>
    </row>
    <row r="9" spans="2:6" ht="16.5">
      <c r="B9">
        <v>9802</v>
      </c>
      <c r="C9" s="121">
        <v>1897</v>
      </c>
      <c r="E9" s="120"/>
      <c r="F9" s="120"/>
    </row>
    <row r="10" spans="2:6" ht="16.5">
      <c r="B10">
        <v>9803</v>
      </c>
      <c r="C10" s="121">
        <v>3396</v>
      </c>
      <c r="E10" s="120"/>
      <c r="F10" s="120"/>
    </row>
    <row r="11" spans="2:6" ht="16.5">
      <c r="B11" s="124">
        <v>9804</v>
      </c>
      <c r="C11" s="122">
        <v>4371</v>
      </c>
      <c r="E11" s="120"/>
      <c r="F11" s="120"/>
    </row>
    <row r="12" spans="2:6" ht="16.5">
      <c r="B12">
        <v>9805</v>
      </c>
      <c r="C12" s="123">
        <v>2483</v>
      </c>
      <c r="E12" s="120"/>
      <c r="F12" s="120"/>
    </row>
    <row r="13" spans="2:6" ht="16.5">
      <c r="B13">
        <v>9806</v>
      </c>
      <c r="C13" s="123">
        <f>3124+628</f>
        <v>3752</v>
      </c>
      <c r="E13" s="120"/>
      <c r="F13" s="120"/>
    </row>
    <row r="14" spans="2:6" ht="16.5">
      <c r="B14" s="128" t="s">
        <v>55</v>
      </c>
      <c r="C14" s="123">
        <f>1934+4222+507</f>
        <v>6663</v>
      </c>
      <c r="E14" s="120"/>
      <c r="F14" s="120"/>
    </row>
    <row r="15" spans="2:6" ht="16.5">
      <c r="B15" s="127">
        <v>9809</v>
      </c>
      <c r="C15" s="123">
        <v>2608</v>
      </c>
      <c r="E15" s="120"/>
      <c r="F15" s="120"/>
    </row>
    <row r="16" spans="2:6" ht="16.5">
      <c r="B16" s="127">
        <v>9810</v>
      </c>
      <c r="C16" s="123">
        <v>3347</v>
      </c>
      <c r="E16" s="120"/>
      <c r="F16" s="120"/>
    </row>
    <row r="17" spans="2:6" ht="16.5">
      <c r="B17" s="127">
        <v>9811</v>
      </c>
      <c r="C17" s="123">
        <v>4262</v>
      </c>
      <c r="E17" s="120"/>
      <c r="F17" s="120"/>
    </row>
    <row r="18" spans="2:6" ht="16.5">
      <c r="B18" s="127">
        <v>9812</v>
      </c>
      <c r="C18" s="123">
        <v>7236</v>
      </c>
      <c r="E18" s="120"/>
      <c r="F18" s="120"/>
    </row>
    <row r="19" spans="2:6" ht="16.5">
      <c r="B19" s="127">
        <v>9901</v>
      </c>
      <c r="C19" s="278">
        <v>1670</v>
      </c>
      <c r="E19" s="120"/>
      <c r="F19" s="120"/>
    </row>
    <row r="20" spans="2:6" ht="16.5">
      <c r="B20" s="127">
        <v>9902</v>
      </c>
      <c r="C20" s="278"/>
      <c r="E20" s="120"/>
      <c r="F20" s="120"/>
    </row>
    <row r="21" spans="2:6" ht="16.5">
      <c r="B21" s="127">
        <v>9903</v>
      </c>
      <c r="C21" s="123">
        <v>1980</v>
      </c>
      <c r="E21" s="120"/>
      <c r="F21" s="120"/>
    </row>
    <row r="22" spans="2:6" ht="16.5">
      <c r="B22" s="127">
        <v>9904</v>
      </c>
      <c r="C22" s="123">
        <v>4886</v>
      </c>
      <c r="E22" s="120"/>
      <c r="F22" s="120"/>
    </row>
    <row r="23" spans="2:6" ht="16.5">
      <c r="B23" s="127">
        <v>9905</v>
      </c>
      <c r="C23" s="123">
        <v>4850</v>
      </c>
      <c r="E23" s="120"/>
      <c r="F23" s="120"/>
    </row>
    <row r="24" spans="2:6" ht="17.25" thickBot="1">
      <c r="B24" s="127">
        <v>9906</v>
      </c>
      <c r="C24" s="125"/>
      <c r="E24" s="120"/>
      <c r="F24" s="120"/>
    </row>
    <row r="25" spans="2:6" ht="17.25" thickTop="1">
      <c r="B25" s="141">
        <v>9907</v>
      </c>
      <c r="C25" s="123">
        <v>3905</v>
      </c>
      <c r="E25" s="120"/>
      <c r="F25" s="120"/>
    </row>
    <row r="26" spans="2:6" ht="16.5">
      <c r="B26" s="141">
        <v>9908</v>
      </c>
      <c r="C26" s="123">
        <v>4305</v>
      </c>
      <c r="E26" s="120"/>
      <c r="F26" s="120"/>
    </row>
    <row r="27" spans="2:6" ht="16.5">
      <c r="B27" s="144">
        <v>9909</v>
      </c>
      <c r="C27" s="123">
        <v>5682</v>
      </c>
      <c r="E27" s="120"/>
      <c r="F27" s="120"/>
    </row>
    <row r="28" spans="2:6" ht="16.5">
      <c r="B28" s="144">
        <v>9910</v>
      </c>
      <c r="C28" s="121">
        <v>2883</v>
      </c>
      <c r="E28" s="120"/>
      <c r="F28" s="120"/>
    </row>
    <row r="29" spans="2:6" ht="16.5">
      <c r="B29" s="144">
        <v>9911</v>
      </c>
      <c r="C29" s="121">
        <v>5030</v>
      </c>
      <c r="E29" s="120"/>
      <c r="F29" s="120"/>
    </row>
    <row r="30" spans="2:6" ht="16.5">
      <c r="B30" s="144">
        <v>9912</v>
      </c>
      <c r="C30" s="121">
        <v>1805</v>
      </c>
      <c r="E30" s="120"/>
      <c r="F30" s="120"/>
    </row>
    <row r="31" spans="2:6" ht="16.5">
      <c r="B31" s="144" t="s">
        <v>99</v>
      </c>
      <c r="C31" s="121">
        <v>3416</v>
      </c>
      <c r="E31" s="120"/>
      <c r="F31" s="120"/>
    </row>
    <row r="32" spans="2:3" ht="16.5">
      <c r="B32" s="144" t="s">
        <v>98</v>
      </c>
      <c r="C32" s="121">
        <v>5034</v>
      </c>
    </row>
    <row r="33" spans="2:3" ht="16.5">
      <c r="B33" s="144" t="s">
        <v>97</v>
      </c>
      <c r="C33" s="121">
        <v>1830</v>
      </c>
    </row>
    <row r="34" spans="2:3" ht="16.5">
      <c r="B34" s="144" t="s">
        <v>96</v>
      </c>
      <c r="C34" s="121">
        <v>4990</v>
      </c>
    </row>
    <row r="35" spans="2:3" ht="16.5">
      <c r="B35" s="144" t="s">
        <v>100</v>
      </c>
      <c r="C35" s="121">
        <v>5520</v>
      </c>
    </row>
    <row r="36" spans="2:3" ht="16.5">
      <c r="B36" s="144" t="s">
        <v>101</v>
      </c>
      <c r="C36" s="121">
        <v>581</v>
      </c>
    </row>
    <row r="37" spans="2:3" ht="16.5">
      <c r="B37" s="144" t="s">
        <v>102</v>
      </c>
      <c r="C37" s="121">
        <v>3000</v>
      </c>
    </row>
    <row r="38" spans="2:3" ht="16.5">
      <c r="B38" s="144" t="s">
        <v>103</v>
      </c>
      <c r="C38" s="121">
        <v>2330</v>
      </c>
    </row>
    <row r="39" spans="2:3" ht="16.5">
      <c r="B39" s="144" t="s">
        <v>104</v>
      </c>
      <c r="C39" s="121">
        <v>2870</v>
      </c>
    </row>
    <row r="40" spans="2:3" ht="16.5">
      <c r="B40" s="144" t="s">
        <v>105</v>
      </c>
      <c r="C40" s="121">
        <v>2775</v>
      </c>
    </row>
    <row r="41" spans="2:3" ht="16.5">
      <c r="B41" s="144" t="s">
        <v>106</v>
      </c>
      <c r="C41" s="121">
        <v>3040</v>
      </c>
    </row>
    <row r="42" spans="2:3" ht="16.5">
      <c r="B42" s="144" t="s">
        <v>107</v>
      </c>
      <c r="C42" s="121">
        <v>0</v>
      </c>
    </row>
    <row r="43" spans="2:3" ht="16.5">
      <c r="B43" s="144" t="s">
        <v>110</v>
      </c>
      <c r="C43" s="121">
        <v>3265</v>
      </c>
    </row>
    <row r="44" spans="2:3" ht="16.5">
      <c r="B44" s="144" t="s">
        <v>111</v>
      </c>
      <c r="C44" s="121">
        <v>2720</v>
      </c>
    </row>
    <row r="45" spans="2:3" ht="16.5">
      <c r="B45" s="144" t="s">
        <v>112</v>
      </c>
      <c r="C45" s="121">
        <v>0</v>
      </c>
    </row>
    <row r="46" spans="2:3" ht="16.5">
      <c r="B46" s="144" t="s">
        <v>113</v>
      </c>
      <c r="C46" s="121">
        <v>4350</v>
      </c>
    </row>
    <row r="47" ht="16.5">
      <c r="B47" s="144" t="s">
        <v>114</v>
      </c>
    </row>
    <row r="48" ht="16.5">
      <c r="B48" s="144" t="s">
        <v>115</v>
      </c>
    </row>
    <row r="49" ht="16.5">
      <c r="B49" s="144" t="s">
        <v>116</v>
      </c>
    </row>
    <row r="50" ht="16.5">
      <c r="B50" s="144" t="s">
        <v>117</v>
      </c>
    </row>
    <row r="51" spans="2:3" ht="16.5">
      <c r="B51" s="144" t="s">
        <v>118</v>
      </c>
      <c r="C51" s="121">
        <v>750</v>
      </c>
    </row>
    <row r="52" ht="16.5">
      <c r="B52" s="144" t="s">
        <v>119</v>
      </c>
    </row>
    <row r="53" ht="16.5">
      <c r="B53" s="144" t="s">
        <v>120</v>
      </c>
    </row>
    <row r="54" ht="16.5">
      <c r="B54" s="144" t="s">
        <v>121</v>
      </c>
    </row>
    <row r="55" ht="16.5">
      <c r="B55" s="127" t="s">
        <v>127</v>
      </c>
    </row>
    <row r="56" ht="16.5">
      <c r="B56" s="144" t="s">
        <v>128</v>
      </c>
    </row>
    <row r="57" ht="16.5">
      <c r="B57" s="127" t="s">
        <v>129</v>
      </c>
    </row>
    <row r="58" ht="16.5">
      <c r="B58" s="127" t="s">
        <v>130</v>
      </c>
    </row>
    <row r="59" ht="16.5">
      <c r="B59" s="127" t="s">
        <v>131</v>
      </c>
    </row>
    <row r="60" spans="2:3" ht="16.5">
      <c r="B60" s="127" t="s">
        <v>132</v>
      </c>
      <c r="C60" s="121">
        <v>2410</v>
      </c>
    </row>
    <row r="61" ht="16.5">
      <c r="B61" s="127" t="s">
        <v>133</v>
      </c>
    </row>
    <row r="62" ht="16.5">
      <c r="B62" s="127" t="s">
        <v>134</v>
      </c>
    </row>
    <row r="63" ht="16.5">
      <c r="B63" s="127" t="s">
        <v>135</v>
      </c>
    </row>
    <row r="64" ht="16.5">
      <c r="B64" s="127" t="s">
        <v>136</v>
      </c>
    </row>
    <row r="65" ht="16.5">
      <c r="B65" s="127" t="s">
        <v>137</v>
      </c>
    </row>
    <row r="66" ht="16.5">
      <c r="B66" s="127" t="s">
        <v>138</v>
      </c>
    </row>
  </sheetData>
  <sheetProtection/>
  <mergeCells count="1">
    <mergeCell ref="C19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7"/>
  </sheetPr>
  <dimension ref="A2:V16"/>
  <sheetViews>
    <sheetView zoomScale="86" zoomScaleNormal="86" zoomScalePageLayoutView="0" workbookViewId="0" topLeftCell="A1">
      <pane ySplit="2" topLeftCell="A3" activePane="bottomLeft" state="frozen"/>
      <selection pane="topLeft" activeCell="A1" sqref="A1"/>
      <selection pane="bottomLeft" activeCell="F12" sqref="F12"/>
    </sheetView>
  </sheetViews>
  <sheetFormatPr defaultColWidth="5.75390625" defaultRowHeight="16.5"/>
  <cols>
    <col min="1" max="1" width="5.75390625" style="1" customWidth="1"/>
    <col min="2" max="2" width="8.125" style="1" customWidth="1"/>
    <col min="3" max="3" width="7.00390625" style="1" customWidth="1"/>
    <col min="4" max="4" width="5.75390625" style="1" customWidth="1"/>
    <col min="5" max="5" width="7.375" style="1" customWidth="1"/>
    <col min="6" max="6" width="7.75390625" style="1" customWidth="1"/>
    <col min="7" max="7" width="5.75390625" style="1" customWidth="1"/>
    <col min="8" max="9" width="7.375" style="1" customWidth="1"/>
    <col min="10" max="10" width="4.75390625" style="1" customWidth="1"/>
    <col min="11" max="12" width="6.875" style="1" customWidth="1"/>
    <col min="13" max="13" width="4.75390625" style="1" customWidth="1"/>
    <col min="14" max="14" width="6.875" style="1" customWidth="1"/>
    <col min="15" max="16" width="5.125" style="1" customWidth="1"/>
    <col min="17" max="19" width="5.75390625" style="1" customWidth="1"/>
    <col min="20" max="20" width="5.625" style="1" customWidth="1"/>
    <col min="21" max="21" width="5.75390625" style="1" customWidth="1"/>
    <col min="22" max="22" width="7.125" style="1" customWidth="1"/>
    <col min="23" max="16384" width="5.75390625" style="2" customWidth="1"/>
  </cols>
  <sheetData>
    <row r="1" ht="3.75" customHeight="1" thickBot="1"/>
    <row r="2" spans="1:22" s="4" customFormat="1" ht="48" customHeight="1">
      <c r="A2" s="30" t="s">
        <v>47</v>
      </c>
      <c r="B2" s="3" t="s">
        <v>50</v>
      </c>
      <c r="C2" s="3" t="s">
        <v>2</v>
      </c>
      <c r="D2" s="3" t="s">
        <v>3</v>
      </c>
      <c r="E2" s="3" t="s">
        <v>4</v>
      </c>
      <c r="F2" s="3" t="s">
        <v>20</v>
      </c>
      <c r="G2" s="3" t="s">
        <v>36</v>
      </c>
      <c r="H2" s="3" t="s">
        <v>21</v>
      </c>
      <c r="I2" s="3" t="s">
        <v>22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23</v>
      </c>
      <c r="R2" s="3" t="s">
        <v>29</v>
      </c>
      <c r="S2" s="3" t="s">
        <v>24</v>
      </c>
      <c r="T2" s="3" t="s">
        <v>25</v>
      </c>
      <c r="U2" s="3" t="s">
        <v>26</v>
      </c>
      <c r="V2" s="68" t="s">
        <v>49</v>
      </c>
    </row>
    <row r="3" spans="1:22" s="83" customFormat="1" ht="19.5" customHeight="1">
      <c r="A3" s="109">
        <v>1</v>
      </c>
      <c r="B3" s="110" t="e">
        <f>SUM(C3:V3)</f>
        <v>#REF!</v>
      </c>
      <c r="C3" s="111">
        <f>'AZ'!D10+'GM資產組'!D10+'GS事務組'!E10+'台北總務組'!E10+'蘭陽'!E10</f>
        <v>1500</v>
      </c>
      <c r="D3" s="111">
        <f>'AZ'!E10+'GM資產組'!E10+'GS事務組'!F10+'台北總務組'!F10+'蘭陽'!F10</f>
        <v>0</v>
      </c>
      <c r="E3" s="111">
        <f>'AZ'!F10+'GM資產組'!F10+'GS事務組'!G10+'台北總務組'!G10+'蘭陽'!G10</f>
        <v>198.7</v>
      </c>
      <c r="F3" s="111">
        <f>'AZ'!G10+'GM資產組'!G10+'GS事務組'!H10+'台北總務組'!H10+'蘭陽'!H10</f>
        <v>500</v>
      </c>
      <c r="G3" s="111">
        <f>'AZ'!H10+'GM資產組'!H10+'GS事務組'!I10+'台北總務組'!I10+'蘭陽'!I10</f>
        <v>0</v>
      </c>
      <c r="H3" s="111">
        <f>'AZ'!I10+'GM資產組'!I10+'GS事務組'!J10+'台北總務組'!J10+'蘭陽'!J10</f>
        <v>278.8739495798319</v>
      </c>
      <c r="I3" s="111">
        <f>'AZ'!J10+'GM資產組'!J10+'GS事務組'!K10+'台北總務組'!K10+'蘭陽'!K10</f>
        <v>457</v>
      </c>
      <c r="J3" s="111">
        <f>'AZ'!K10+'GM資產組'!K10+'GS事務組'!L10+'台北總務組'!L10+'蘭陽'!L10</f>
        <v>0</v>
      </c>
      <c r="K3" s="111">
        <f>'AZ'!L10+'GM資產組'!L10+'GS事務組'!M10+'台北總務組'!M10+'蘭陽'!M10</f>
        <v>0</v>
      </c>
      <c r="L3" s="111">
        <f>'AZ'!M10+'GM資產組'!M10+'GS事務組'!N10+'台北總務組'!N10+'蘭陽'!N10</f>
        <v>900</v>
      </c>
      <c r="M3" s="111">
        <f>'AZ'!N10+'GM資產組'!N10+'GS事務組'!O10+'台北總務組'!O10+'蘭陽'!O10</f>
        <v>0</v>
      </c>
      <c r="N3" s="111">
        <f>'AZ'!O10+'GM資產組'!O10+'GS事務組'!P10+'台北總務組'!P10+'蘭陽'!P10</f>
        <v>199</v>
      </c>
      <c r="O3" s="111">
        <f>'AZ'!P10+'GM資產組'!P10+'GS事務組'!Q10+'台北總務組'!Q10+'蘭陽'!Q10</f>
        <v>0</v>
      </c>
      <c r="P3" s="111">
        <f>'AZ'!Q10+'GM資產組'!Q10+'GS事務組'!R10+'台北總務組'!R10+'蘭陽'!R10</f>
        <v>14.8</v>
      </c>
      <c r="Q3" s="111">
        <f>'AZ'!R10+'GM資產組'!R10+'GS事務組'!S10+'台北總務組'!S10+'蘭陽'!S10</f>
        <v>3</v>
      </c>
      <c r="R3" s="111">
        <f>'AZ'!S10+'GM資產組'!S10+'GS事務組'!T10+'台北總務組'!T10+'蘭陽'!T10</f>
        <v>111</v>
      </c>
      <c r="S3" s="111">
        <f>'AZ'!T10+'GM資產組'!T10+'GS事務組'!U10+'台北總務組'!U10+'蘭陽'!U10</f>
        <v>0.5</v>
      </c>
      <c r="T3" s="111">
        <f>'AZ'!U10+'GM資產組'!U10+'GS事務組'!V10+'台北總務組'!V10+'蘭陽'!V10</f>
        <v>3</v>
      </c>
      <c r="U3" s="111">
        <f>'AZ'!V10+'GM資產組'!V10+'GS事務組'!W10+'台北總務組'!W10+'蘭陽'!W10</f>
        <v>42</v>
      </c>
      <c r="V3" s="112" t="e">
        <f>'AZ'!W10+'GM資產組'!W9+'GS事務組'!X10+台北總務組!#REF!+'蘭陽'!X10</f>
        <v>#REF!</v>
      </c>
    </row>
    <row r="4" spans="1:22" s="83" customFormat="1" ht="19.5" customHeight="1">
      <c r="A4" s="109">
        <v>2</v>
      </c>
      <c r="B4" s="110" t="e">
        <f aca="true" t="shared" si="0" ref="B4:B15">SUM(C4:V4)</f>
        <v>#REF!</v>
      </c>
      <c r="C4" s="111">
        <f>'AZ'!D11+'GM資產組'!D11+'GS事務組'!E11+'台北總務組'!E11+'蘭陽'!E11</f>
        <v>1531</v>
      </c>
      <c r="D4" s="111">
        <f>'AZ'!E11+'GM資產組'!E11+'GS事務組'!F11+'台北總務組'!F11+'蘭陽'!F11</f>
        <v>0</v>
      </c>
      <c r="E4" s="111">
        <f>'AZ'!F11+'GM資產組'!F11+'GS事務組'!G11+'台北總務組'!G11+'蘭陽'!G11</f>
        <v>218</v>
      </c>
      <c r="F4" s="111">
        <f>'AZ'!G11+'GM資產組'!G11+'GS事務組'!H11+'台北總務組'!H11+'蘭陽'!H11</f>
        <v>0</v>
      </c>
      <c r="G4" s="111">
        <f>'AZ'!H11+'GM資產組'!H11+'GS事務組'!I11+'台北總務組'!I11+'蘭陽'!I11</f>
        <v>0</v>
      </c>
      <c r="H4" s="111">
        <f>'AZ'!I11+'GM資產組'!I11+'GS事務組'!J11+'台北總務組'!J11+'蘭陽'!J11</f>
        <v>273.56302521008405</v>
      </c>
      <c r="I4" s="111">
        <f>'AZ'!J11+'GM資產組'!J11+'GS事務組'!K11+'台北總務組'!K11+'蘭陽'!K11</f>
        <v>107.8</v>
      </c>
      <c r="J4" s="111">
        <f>'AZ'!K11+'GM資產組'!K11+'GS事務組'!L11+'台北總務組'!L11+'蘭陽'!L11</f>
        <v>0</v>
      </c>
      <c r="K4" s="111">
        <f>'AZ'!L11+'GM資產組'!L11+'GS事務組'!M11+'台北總務組'!M11+'蘭陽'!M11</f>
        <v>3</v>
      </c>
      <c r="L4" s="111">
        <f>'AZ'!M11+'GM資產組'!M11+'GS事務組'!N11+'台北總務組'!N11+'蘭陽'!N11</f>
        <v>0</v>
      </c>
      <c r="M4" s="111">
        <f>'AZ'!N11+'GM資產組'!N11+'GS事務組'!O11+'台北總務組'!O11+'蘭陽'!O11</f>
        <v>0</v>
      </c>
      <c r="N4" s="111">
        <f>'AZ'!O11+'GM資產組'!O11+'GS事務組'!P11+'台北總務組'!P11+'蘭陽'!P11</f>
        <v>292</v>
      </c>
      <c r="O4" s="111">
        <f>'AZ'!P11+'GM資產組'!P11+'GS事務組'!Q11+'台北總務組'!Q11+'蘭陽'!Q11</f>
        <v>0</v>
      </c>
      <c r="P4" s="111">
        <f>'AZ'!Q11+'GM資產組'!Q11+'GS事務組'!R11+'台北總務組'!R11+'蘭陽'!R11</f>
        <v>16.2</v>
      </c>
      <c r="Q4" s="111">
        <f>'AZ'!R11+'GM資產組'!R11+'GS事務組'!S11+'台北總務組'!S11+'蘭陽'!S11</f>
        <v>0</v>
      </c>
      <c r="R4" s="111">
        <f>'AZ'!S11+'GM資產組'!S11+'GS事務組'!T11+'台北總務組'!T11+'蘭陽'!T11</f>
        <v>137</v>
      </c>
      <c r="S4" s="111">
        <f>'AZ'!T11+'GM資產組'!T11+'GS事務組'!U11+'台北總務組'!U11+'蘭陽'!U11</f>
        <v>1.6</v>
      </c>
      <c r="T4" s="111">
        <f>'AZ'!U11+'GM資產組'!U11+'GS事務組'!V11+'台北總務組'!V11+'蘭陽'!V11</f>
        <v>1</v>
      </c>
      <c r="U4" s="111">
        <f>'AZ'!V11+'GM資產組'!V11+'GS事務組'!W11+'台北總務組'!W11+'蘭陽'!W11</f>
        <v>35.25</v>
      </c>
      <c r="V4" s="112" t="e">
        <f>'AZ'!W11+'GM資產組'!W10+'GS事務組'!X11+台北總務組!#REF!+'蘭陽'!X11</f>
        <v>#REF!</v>
      </c>
    </row>
    <row r="5" spans="1:22" s="83" customFormat="1" ht="19.5" customHeight="1">
      <c r="A5" s="109">
        <v>3</v>
      </c>
      <c r="B5" s="110" t="e">
        <f t="shared" si="0"/>
        <v>#REF!</v>
      </c>
      <c r="C5" s="111">
        <f>'AZ'!D12+'GM資產組'!D12+'GS事務組'!E12+'台北總務組'!E12+'蘭陽'!E12</f>
        <v>2807</v>
      </c>
      <c r="D5" s="111">
        <f>'AZ'!E12+'GM資產組'!E12+'GS事務組'!F12+'台北總務組'!F12+'蘭陽'!F12</f>
        <v>0</v>
      </c>
      <c r="E5" s="111">
        <f>'AZ'!F12+'GM資產組'!F12+'GS事務組'!G12+'台北總務組'!G12+'蘭陽'!G12</f>
        <v>248.4</v>
      </c>
      <c r="F5" s="111">
        <f>'AZ'!G12+'GM資產組'!G12+'GS事務組'!H12+'台北總務組'!H12+'蘭陽'!H12</f>
        <v>660</v>
      </c>
      <c r="G5" s="111">
        <f>'AZ'!H12+'GM資產組'!H12+'GS事務組'!I12+'台北總務組'!I12+'蘭陽'!I12</f>
        <v>0</v>
      </c>
      <c r="H5" s="111">
        <f>'AZ'!I12+'GM資產組'!I12+'GS事務組'!J12+'台北總務組'!J12+'蘭陽'!J12</f>
        <v>373.8655462184874</v>
      </c>
      <c r="I5" s="111">
        <f>'AZ'!J12+'GM資產組'!J12+'GS事務組'!K12+'台北總務組'!K12+'蘭陽'!K12</f>
        <v>115.5</v>
      </c>
      <c r="J5" s="111">
        <f>'AZ'!K12+'GM資產組'!K12+'GS事務組'!L12+'台北總務組'!L12+'蘭陽'!L12</f>
        <v>0</v>
      </c>
      <c r="K5" s="111">
        <f>'AZ'!L12+'GM資產組'!L12+'GS事務組'!M12+'台北總務組'!M12+'蘭陽'!M12</f>
        <v>60</v>
      </c>
      <c r="L5" s="111">
        <f>'AZ'!M12+'GM資產組'!M12+'GS事務組'!N12+'台北總務組'!N12+'蘭陽'!N12</f>
        <v>3276</v>
      </c>
      <c r="M5" s="111">
        <f>'AZ'!N12+'GM資產組'!N12+'GS事務組'!O12+'台北總務組'!O12+'蘭陽'!O12</f>
        <v>0</v>
      </c>
      <c r="N5" s="111">
        <f>'AZ'!O12+'GM資產組'!O12+'GS事務組'!P12+'台北總務組'!P12+'蘭陽'!P12</f>
        <v>443</v>
      </c>
      <c r="O5" s="111">
        <f>'AZ'!P12+'GM資產組'!P12+'GS事務組'!Q12+'台北總務組'!Q12+'蘭陽'!Q12</f>
        <v>0</v>
      </c>
      <c r="P5" s="111">
        <f>'AZ'!Q12+'GM資產組'!Q12+'GS事務組'!R12+'台北總務組'!R12+'蘭陽'!R12</f>
        <v>6</v>
      </c>
      <c r="Q5" s="111">
        <f>'AZ'!R12+'GM資產組'!R12+'GS事務組'!S12+'台北總務組'!S12+'蘭陽'!S12</f>
        <v>0</v>
      </c>
      <c r="R5" s="111">
        <f>'AZ'!S12+'GM資產組'!S12+'GS事務組'!T12+'台北總務組'!T12+'蘭陽'!T12</f>
        <v>23</v>
      </c>
      <c r="S5" s="111">
        <f>'AZ'!T12+'GM資產組'!T12+'GS事務組'!U12+'台北總務組'!U12+'蘭陽'!U12</f>
        <v>1.8</v>
      </c>
      <c r="T5" s="111">
        <f>'AZ'!U12+'GM資產組'!U12+'GS事務組'!V12+'台北總務組'!V12+'蘭陽'!V12</f>
        <v>4</v>
      </c>
      <c r="U5" s="111">
        <f>'AZ'!V12+'GM資產組'!V12+'GS事務組'!W12+'台北總務組'!W12+'蘭陽'!W12</f>
        <v>72.25</v>
      </c>
      <c r="V5" s="112" t="e">
        <f>'AZ'!W12+'GM資產組'!W11+'GS事務組'!X12+台北總務組!#REF!+'蘭陽'!X12</f>
        <v>#REF!</v>
      </c>
    </row>
    <row r="6" spans="1:22" s="83" customFormat="1" ht="19.5" customHeight="1">
      <c r="A6" s="109">
        <v>4</v>
      </c>
      <c r="B6" s="110" t="e">
        <f t="shared" si="0"/>
        <v>#REF!</v>
      </c>
      <c r="C6" s="111">
        <f>'AZ'!D13+'GM資產組'!D13+'GS事務組'!E13+'台北總務組'!E13+'蘭陽'!E13</f>
        <v>1730</v>
      </c>
      <c r="D6" s="111">
        <f>'AZ'!E13+'GM資產組'!E13+'GS事務組'!F13+'台北總務組'!F13+'蘭陽'!F13</f>
        <v>0</v>
      </c>
      <c r="E6" s="111">
        <f>'AZ'!F13+'GM資產組'!F13+'GS事務組'!G13+'台北總務組'!G13+'蘭陽'!G13</f>
        <v>264</v>
      </c>
      <c r="F6" s="111">
        <f>'AZ'!G13+'GM資產組'!G13+'GS事務組'!H13+'台北總務組'!H13+'蘭陽'!H13</f>
        <v>103.1</v>
      </c>
      <c r="G6" s="111">
        <f>'AZ'!H13+'GM資產組'!H13+'GS事務組'!I13+'台北總務組'!I13+'蘭陽'!I13</f>
        <v>0</v>
      </c>
      <c r="H6" s="111">
        <f>'AZ'!I13+'GM資產組'!I13+'GS事務組'!J13+'台北總務組'!J13+'蘭陽'!J13</f>
        <v>437</v>
      </c>
      <c r="I6" s="111">
        <f>'AZ'!J13+'GM資產組'!J13+'GS事務組'!K13+'台北總務組'!K13+'蘭陽'!K13</f>
        <v>321</v>
      </c>
      <c r="J6" s="111">
        <f>'AZ'!K13+'GM資產組'!K13+'GS事務組'!L13+'台北總務組'!L13+'蘭陽'!L13</f>
        <v>0</v>
      </c>
      <c r="K6" s="111">
        <f>'AZ'!L13+'GM資產組'!L13+'GS事務組'!M13+'台北總務組'!M13+'蘭陽'!M13</f>
        <v>397</v>
      </c>
      <c r="L6" s="111">
        <f>'AZ'!M13+'GM資產組'!M13+'GS事務組'!N13+'台北總務組'!N13+'蘭陽'!N13</f>
        <v>588</v>
      </c>
      <c r="M6" s="111">
        <f>'AZ'!N13+'GM資產組'!N13+'GS事務組'!O13+'台北總務組'!O13+'蘭陽'!O13</f>
        <v>0</v>
      </c>
      <c r="N6" s="111">
        <f>'AZ'!O13+'GM資產組'!O13+'GS事務組'!P13+'台北總務組'!P13+'蘭陽'!P13</f>
        <v>391</v>
      </c>
      <c r="O6" s="111">
        <f>'AZ'!P13+'GM資產組'!P13+'GS事務組'!Q13+'台北總務組'!Q13+'蘭陽'!Q13</f>
        <v>0</v>
      </c>
      <c r="P6" s="111">
        <f>'AZ'!Q13+'GM資產組'!Q13+'GS事務組'!R13+'台北總務組'!R13+'蘭陽'!R13</f>
        <v>11</v>
      </c>
      <c r="Q6" s="111">
        <f>'AZ'!R13+'GM資產組'!R13+'GS事務組'!S13+'台北總務組'!S13+'蘭陽'!S13</f>
        <v>28.4</v>
      </c>
      <c r="R6" s="111">
        <f>'AZ'!S13+'GM資產組'!S13+'GS事務組'!T13+'台北總務組'!T13+'蘭陽'!T13</f>
        <v>237</v>
      </c>
      <c r="S6" s="111">
        <f>'AZ'!T13+'GM資產組'!T13+'GS事務組'!U13+'台北總務組'!U13+'蘭陽'!U13</f>
        <v>0</v>
      </c>
      <c r="T6" s="111">
        <f>'AZ'!U13+'GM資產組'!U13+'GS事務組'!V13+'台北總務組'!V13+'蘭陽'!V13</f>
        <v>7</v>
      </c>
      <c r="U6" s="111">
        <f>'AZ'!V13+'GM資產組'!V13+'GS事務組'!W13+'台北總務組'!W13+'蘭陽'!W13</f>
        <v>62.5</v>
      </c>
      <c r="V6" s="112" t="e">
        <f>'AZ'!W13+'GM資產組'!W12+'GS事務組'!X13+台北總務組!#REF!+'蘭陽'!X13</f>
        <v>#REF!</v>
      </c>
    </row>
    <row r="7" spans="1:22" s="83" customFormat="1" ht="19.5" customHeight="1">
      <c r="A7" s="109">
        <v>5</v>
      </c>
      <c r="B7" s="110" t="e">
        <f t="shared" si="0"/>
        <v>#REF!</v>
      </c>
      <c r="C7" s="111">
        <f>'AZ'!D14+'GM資產組'!D14+'GS事務組'!E14+'台北總務組'!E14+'蘭陽'!E14</f>
        <v>1880.3</v>
      </c>
      <c r="D7" s="111">
        <f>'AZ'!E14+'GM資產組'!G14+'GS事務組'!F14+'台北總務組'!F14+'蘭陽'!F14</f>
        <v>500</v>
      </c>
      <c r="E7" s="111">
        <f>'AZ'!F14+'GM資產組'!F14+'GS事務組'!G14+'台北總務組'!G14+'蘭陽'!G14</f>
        <v>245.86</v>
      </c>
      <c r="F7" s="111">
        <f>'AZ'!G14+'GM資產組'!G14+'GS事務組'!H14+'台北總務組'!H14+'蘭陽'!H14</f>
        <v>500</v>
      </c>
      <c r="G7" s="111">
        <f>'AZ'!H14+'GM資產組'!H14+'GS事務組'!I14+'台北總務組'!I14+'蘭陽'!I14</f>
        <v>0</v>
      </c>
      <c r="H7" s="111">
        <f>'AZ'!I14+'GM資產組'!I14+'GS事務組'!J14+'台北總務組'!J14+'蘭陽'!J14</f>
        <v>370.7142857142857</v>
      </c>
      <c r="I7" s="111">
        <f>'AZ'!J14+'GM資產組'!J14+'GS事務組'!K14+'台北總務組'!K14+'蘭陽'!K14</f>
        <v>158.6</v>
      </c>
      <c r="J7" s="111">
        <f>'AZ'!K14+'GM資產組'!K14+'GS事務組'!L14+'台北總務組'!L14+'蘭陽'!L14</f>
        <v>0</v>
      </c>
      <c r="K7" s="111">
        <f>'AZ'!L14+'GM資產組'!L14+'GS事務組'!M14+'台北總務組'!M14+'蘭陽'!M14</f>
        <v>841</v>
      </c>
      <c r="L7" s="111">
        <f>'AZ'!M14+'GM資產組'!M14+'GS事務組'!N14+'台北總務組'!N14+'蘭陽'!N14</f>
        <v>252</v>
      </c>
      <c r="M7" s="111">
        <f>'AZ'!N14+'GM資產組'!N14+'GS事務組'!O14+'台北總務組'!O14+'蘭陽'!O14</f>
        <v>0</v>
      </c>
      <c r="N7" s="111">
        <f>'AZ'!O14+'GM資產組'!O14+'GS事務組'!P14+'台北總務組'!P14+'蘭陽'!P14</f>
        <v>277</v>
      </c>
      <c r="O7" s="111">
        <f>'AZ'!P14+'GM資產組'!P14+'GS事務組'!Q14+'台北總務組'!Q14+'蘭陽'!Q14</f>
        <v>0</v>
      </c>
      <c r="P7" s="111">
        <f>'AZ'!Q14+'GM資產組'!Q14+'GS事務組'!R14+'台北總務組'!R14+'蘭陽'!R14</f>
        <v>6.2</v>
      </c>
      <c r="Q7" s="111">
        <f>'AZ'!R14+'GM資產組'!R14+'GS事務組'!S14+'台北總務組'!S14+'蘭陽'!S14</f>
        <v>0</v>
      </c>
      <c r="R7" s="111">
        <f>'AZ'!S14+'GM資產組'!S14+'GS事務組'!T14+'台北總務組'!T14+'蘭陽'!T14</f>
        <v>141</v>
      </c>
      <c r="S7" s="111">
        <f>'AZ'!T14+'GM資產組'!T14+'GS事務組'!U14+'台北總務組'!U14+'蘭陽'!U14</f>
        <v>1.9</v>
      </c>
      <c r="T7" s="111">
        <f>'AZ'!U14+'GM資產組'!U14+'GS事務組'!V14+'台北總務組'!V14+'蘭陽'!V14</f>
        <v>2.5</v>
      </c>
      <c r="U7" s="111">
        <f>'AZ'!V14+'GM資產組'!V14+'GS事務組'!W14+'台北總務組'!W14+'蘭陽'!W14</f>
        <v>52.75</v>
      </c>
      <c r="V7" s="112" t="e">
        <f>'AZ'!W14+'GM資產組'!W13+'GS事務組'!X14+台北總務組!#REF!+'蘭陽'!X14</f>
        <v>#REF!</v>
      </c>
    </row>
    <row r="8" spans="1:22" s="83" customFormat="1" ht="19.5" customHeight="1">
      <c r="A8" s="109">
        <v>6</v>
      </c>
      <c r="B8" s="110" t="e">
        <f t="shared" si="0"/>
        <v>#REF!</v>
      </c>
      <c r="C8" s="111">
        <f>'AZ'!D15+'GM資產組'!D15+'GS事務組'!E15+'台北總務組'!E15+'蘭陽'!E15</f>
        <v>3181</v>
      </c>
      <c r="D8" s="111">
        <f>'AZ'!E15+'GM資產組'!G15+'GS事務組'!F15+'台北總務組'!F15+'蘭陽'!F15</f>
        <v>2270</v>
      </c>
      <c r="E8" s="111">
        <f>'AZ'!F15+'GM資產組'!F15+'GS事務組'!G15+'台北總務組'!G15+'蘭陽'!G15</f>
        <v>245.9</v>
      </c>
      <c r="F8" s="111">
        <f>'AZ'!G15+'GM資產組'!G15+'GS事務組'!H15+'台北總務組'!H15+'蘭陽'!H15</f>
        <v>2270</v>
      </c>
      <c r="G8" s="111">
        <f>'AZ'!H15+'GM資產組'!H15+'GS事務組'!I15+'台北總務組'!I15+'蘭陽'!I15</f>
        <v>0</v>
      </c>
      <c r="H8" s="111">
        <f>'AZ'!I15+'GM資產組'!I15+'GS事務組'!J15+'台北總務組'!J15+'蘭陽'!J15</f>
        <v>419.8</v>
      </c>
      <c r="I8" s="111">
        <f>'AZ'!J15+'GM資產組'!J15+'GS事務組'!K15+'台北總務組'!K15+'蘭陽'!K15</f>
        <v>366.7</v>
      </c>
      <c r="J8" s="111">
        <f>'AZ'!K15+'GM資產組'!K15+'GS事務組'!L15+'台北總務組'!L15+'蘭陽'!L15</f>
        <v>0</v>
      </c>
      <c r="K8" s="111">
        <f>'AZ'!L15+'GM資產組'!L15+'GS事務組'!M15+'台北總務組'!M15+'蘭陽'!M15</f>
        <v>1174</v>
      </c>
      <c r="L8" s="111">
        <f>'AZ'!M15+'GM資產組'!M15+'GS事務組'!N15+'台北總務組'!N15+'蘭陽'!N15</f>
        <v>936</v>
      </c>
      <c r="M8" s="111">
        <f>'AZ'!N15+'GM資產組'!N15+'GS事務組'!O15+'台北總務組'!O15+'蘭陽'!O15</f>
        <v>0</v>
      </c>
      <c r="N8" s="111">
        <f>'AZ'!O15+'GM資產組'!O15+'GS事務組'!P15+'台北總務組'!P15+'蘭陽'!P15</f>
        <v>213</v>
      </c>
      <c r="O8" s="111">
        <f>'AZ'!P15+'GM資產組'!P15+'GS事務組'!Q15+'台北總務組'!Q15+'蘭陽'!Q15</f>
        <v>0</v>
      </c>
      <c r="P8" s="111">
        <f>'AZ'!Q15+'GM資產組'!Q15+'GS事務組'!R15+'台北總務組'!R15+'蘭陽'!R15</f>
        <v>8.1</v>
      </c>
      <c r="Q8" s="111">
        <f>'AZ'!R15+'GM資產組'!R15+'GS事務組'!S15+'台北總務組'!S15+'蘭陽'!S15</f>
        <v>94</v>
      </c>
      <c r="R8" s="111">
        <f>'AZ'!S15+'GM資產組'!S15+'GS事務組'!T15+'台北總務組'!T15+'蘭陽'!T15</f>
        <v>247</v>
      </c>
      <c r="S8" s="111">
        <f>'AZ'!T15+'GM資產組'!T15+'GS事務組'!U15+'台北總務組'!U15+'蘭陽'!U15</f>
        <v>0.8</v>
      </c>
      <c r="T8" s="111">
        <f>'AZ'!U15+'GM資產組'!U15+'GS事務組'!V15+'台北總務組'!V15+'蘭陽'!V15</f>
        <v>2</v>
      </c>
      <c r="U8" s="111">
        <f>'AZ'!V15+'GM資產組'!V15+'GS事務組'!W15+'台北總務組'!W15+'蘭陽'!W15</f>
        <v>42.5</v>
      </c>
      <c r="V8" s="112" t="e">
        <f>'AZ'!W15+'GM資產組'!W14+'GS事務組'!X15+台北總務組!#REF!+'蘭陽'!X15</f>
        <v>#REF!</v>
      </c>
    </row>
    <row r="9" spans="1:22" s="83" customFormat="1" ht="19.5" customHeight="1">
      <c r="A9" s="109">
        <v>7</v>
      </c>
      <c r="B9" s="110" t="e">
        <f t="shared" si="0"/>
        <v>#REF!</v>
      </c>
      <c r="C9" s="111">
        <f>'AZ'!D16+'GM資產組'!D16+'GS事務組'!E16+'台北總務組'!E16+'蘭陽'!E16</f>
        <v>1955</v>
      </c>
      <c r="D9" s="111">
        <f>'AZ'!E16+'GM資產組'!G16+'GS事務組'!F16+'台北總務組'!F16+'蘭陽'!F16</f>
        <v>0</v>
      </c>
      <c r="E9" s="111">
        <f>'AZ'!F16+'GM資產組'!F16+'GS事務組'!G16+'台北總務組'!G16+'蘭陽'!G16</f>
        <v>228.3</v>
      </c>
      <c r="F9" s="111">
        <f>'AZ'!G16+'GM資產組'!G16+'GS事務組'!H16+'台北總務組'!H16+'蘭陽'!H16</f>
        <v>0</v>
      </c>
      <c r="G9" s="111">
        <f>'AZ'!H16+'GM資產組'!H16+'GS事務組'!I16+'台北總務組'!I16+'蘭陽'!I16</f>
        <v>0</v>
      </c>
      <c r="H9" s="111">
        <f>'AZ'!I16+'GM資產組'!I16+'GS事務組'!J16+'台北總務組'!J16+'蘭陽'!J16</f>
        <v>291.9</v>
      </c>
      <c r="I9" s="111">
        <f>'AZ'!J16+'GM資產組'!J16+'GS事務組'!K16+'台北總務組'!K16+'蘭陽'!K16</f>
        <v>198.7</v>
      </c>
      <c r="J9" s="111">
        <f>'AZ'!K16+'GM資產組'!K16+'GS事務組'!L16+'台北總務組'!L16+'蘭陽'!L16</f>
        <v>0</v>
      </c>
      <c r="K9" s="111">
        <f>'AZ'!L16+'GM資產組'!L16+'GS事務組'!M16+'台北總務組'!M16+'蘭陽'!M16</f>
        <v>0</v>
      </c>
      <c r="L9" s="111">
        <f>'AZ'!M16+'GM資產組'!M16+'GS事務組'!N16+'台北總務組'!N16+'蘭陽'!N16</f>
        <v>0</v>
      </c>
      <c r="M9" s="111">
        <f>'AZ'!N16+'GM資產組'!N16+'GS事務組'!O16+'台北總務組'!O16+'蘭陽'!O16</f>
        <v>0</v>
      </c>
      <c r="N9" s="111">
        <f>'AZ'!O16+'GM資產組'!O16+'GS事務組'!P16+'台北總務組'!P16+'蘭陽'!P16</f>
        <v>174</v>
      </c>
      <c r="O9" s="111">
        <f>'AZ'!P16+'GM資產組'!P16+'GS事務組'!Q16+'台北總務組'!Q16+'蘭陽'!Q16</f>
        <v>0</v>
      </c>
      <c r="P9" s="111">
        <f>'AZ'!Q16+'GM資產組'!Q16+'GS事務組'!R16+'台北總務組'!R16+'蘭陽'!R16</f>
        <v>6.8</v>
      </c>
      <c r="Q9" s="111">
        <f>'AZ'!R16+'GM資產組'!R16+'GS事務組'!S16+'台北總務組'!S16+'蘭陽'!S16</f>
        <v>0</v>
      </c>
      <c r="R9" s="111">
        <f>'AZ'!S16+'GM資產組'!S16+'GS事務組'!T16+'台北總務組'!T16+'蘭陽'!T16</f>
        <v>111</v>
      </c>
      <c r="S9" s="111">
        <f>'AZ'!T16+'GM資產組'!T16+'GS事務組'!U16+'台北總務組'!U16+'蘭陽'!U16</f>
        <v>1.4</v>
      </c>
      <c r="T9" s="111">
        <f>'AZ'!U16+'GM資產組'!U16+'GS事務組'!V16+'台北總務組'!V16+'蘭陽'!V16</f>
        <v>7</v>
      </c>
      <c r="U9" s="111">
        <f>'AZ'!V16+'GM資產組'!V16+'GS事務組'!W16+'台北總務組'!W16+'蘭陽'!W16</f>
        <v>39</v>
      </c>
      <c r="V9" s="112" t="e">
        <f>'AZ'!W16+'GM資產組'!W15+'GS事務組'!X16+台北總務組!#REF!+'蘭陽'!X16</f>
        <v>#REF!</v>
      </c>
    </row>
    <row r="10" spans="1:22" s="83" customFormat="1" ht="19.5" customHeight="1">
      <c r="A10" s="109">
        <v>8</v>
      </c>
      <c r="B10" s="110" t="e">
        <f t="shared" si="0"/>
        <v>#REF!</v>
      </c>
      <c r="C10" s="111">
        <f>'AZ'!D17+'GM資產組'!D17+'GS事務組'!E17+'台北總務組'!E17+'蘭陽'!E17</f>
        <v>1031</v>
      </c>
      <c r="D10" s="111">
        <f>'AZ'!E17+'GM資產組'!G17+'GS事務組'!F17+'台北總務組'!F17+'蘭陽'!F17</f>
        <v>10</v>
      </c>
      <c r="E10" s="111">
        <f>'AZ'!F17+'GM資產組'!F17+'GS事務組'!G17+'台北總務組'!G17+'蘭陽'!G17</f>
        <v>36.1</v>
      </c>
      <c r="F10" s="111">
        <f>'AZ'!G17+'GM資產組'!G17+'GS事務組'!H17+'台北總務組'!H17+'蘭陽'!H17</f>
        <v>0</v>
      </c>
      <c r="G10" s="111">
        <f>'AZ'!H17+'GM資產組'!H17+'GS事務組'!I17+'台北總務組'!I17+'蘭陽'!I17</f>
        <v>0</v>
      </c>
      <c r="H10" s="111">
        <f>'AZ'!I17+'GM資產組'!I17+'GS事務組'!J17+'台北總務組'!J17+'蘭陽'!J17</f>
        <v>55.4</v>
      </c>
      <c r="I10" s="111">
        <f>'AZ'!J17+'GM資產組'!J17+'GS事務組'!K17+'台北總務組'!K17+'蘭陽'!K17</f>
        <v>80.9</v>
      </c>
      <c r="J10" s="111">
        <f>'AZ'!K17+'GM資產組'!K17+'GS事務組'!L17+'台北總務組'!L17+'蘭陽'!L17</f>
        <v>0</v>
      </c>
      <c r="K10" s="111">
        <f>'AZ'!L17+'GM資產組'!L17+'GS事務組'!M17+'台北總務組'!M17+'蘭陽'!M17</f>
        <v>0</v>
      </c>
      <c r="L10" s="111">
        <f>'AZ'!M17+'GM資產組'!M17+'GS事務組'!N17+'台北總務組'!N17+'蘭陽'!N17</f>
        <v>0</v>
      </c>
      <c r="M10" s="111">
        <f>'AZ'!N17+'GM資產組'!N17+'GS事務組'!O17+'台北總務組'!O17+'蘭陽'!O17</f>
        <v>0</v>
      </c>
      <c r="N10" s="111">
        <f>'AZ'!O17+'GM資產組'!O17+'GS事務組'!P17+'台北總務組'!P17+'蘭陽'!P17</f>
        <v>0</v>
      </c>
      <c r="O10" s="111">
        <f>'AZ'!P17+'GM資產組'!P17+'GS事務組'!Q17+'台北總務組'!Q17+'蘭陽'!Q17</f>
        <v>0</v>
      </c>
      <c r="P10" s="111">
        <f>'AZ'!Q17+'GM資產組'!Q17+'GS事務組'!R17+'台北總務組'!R17+'蘭陽'!R17</f>
        <v>11.9</v>
      </c>
      <c r="Q10" s="111">
        <f>'AZ'!R17+'GM資產組'!R17+'GS事務組'!S17+'台北總務組'!S17+'蘭陽'!S17</f>
        <v>0</v>
      </c>
      <c r="R10" s="111">
        <f>'AZ'!S17+'GM資產組'!S17+'GS事務組'!T17+'台北總務組'!T17+'蘭陽'!T17</f>
        <v>102</v>
      </c>
      <c r="S10" s="111">
        <f>'AZ'!T17+'GM資產組'!T17+'GS事務組'!U17+'台北總務組'!U17+'蘭陽'!U17</f>
        <v>1.2</v>
      </c>
      <c r="T10" s="111">
        <f>'AZ'!U17+'GM資產組'!U17+'GS事務組'!V17+'台北總務組'!V17+'蘭陽'!V17</f>
        <v>10.2</v>
      </c>
      <c r="U10" s="111">
        <f>'AZ'!V17+'GM資產組'!V17+'GS事務組'!W17+'台北總務組'!W17+'蘭陽'!W17</f>
        <v>59</v>
      </c>
      <c r="V10" s="112" t="e">
        <f>'AZ'!W17+'GM資產組'!W16+'GS事務組'!X17+台北總務組!#REF!+'蘭陽'!X17</f>
        <v>#REF!</v>
      </c>
    </row>
    <row r="11" spans="1:22" s="83" customFormat="1" ht="19.5" customHeight="1">
      <c r="A11" s="109">
        <v>9</v>
      </c>
      <c r="B11" s="110" t="e">
        <f t="shared" si="0"/>
        <v>#REF!</v>
      </c>
      <c r="C11" s="111">
        <f>'AZ'!D18+'GM資產組'!D18+'GS事務組'!E18+'台北總務組'!E18+'蘭陽'!E18</f>
        <v>3459</v>
      </c>
      <c r="D11" s="111">
        <f>'AZ'!E18+'GM資產組'!G18+'GS事務組'!F18+'台北總務組'!F18+'蘭陽'!F18</f>
        <v>1100</v>
      </c>
      <c r="E11" s="111">
        <f>'AZ'!F18+'GM資產組'!F18+'GS事務組'!G18+'台北總務組'!G18+'蘭陽'!G18</f>
        <v>259</v>
      </c>
      <c r="F11" s="111">
        <f>'AZ'!G18+'GM資產組'!G18+'GS事務組'!H18+'台北總務組'!H18+'蘭陽'!H18</f>
        <v>1100</v>
      </c>
      <c r="G11" s="111">
        <f>'AZ'!H18+'GM資產組'!H18+'GS事務組'!I18+'台北總務組'!I18+'蘭陽'!I18</f>
        <v>0</v>
      </c>
      <c r="H11" s="111">
        <f>'AZ'!I18+'GM資產組'!I18+'GS事務組'!J18+'台北總務組'!J18+'蘭陽'!J18</f>
        <v>422.1</v>
      </c>
      <c r="I11" s="111">
        <f>'AZ'!J18+'GM資產組'!J18+'GS事務組'!K18+'台北總務組'!K18+'蘭陽'!K18</f>
        <v>101.4</v>
      </c>
      <c r="J11" s="111">
        <f>'AZ'!K18+'GM資產組'!K18+'GS事務組'!L18+'台北總務組'!L18+'蘭陽'!L18</f>
        <v>0</v>
      </c>
      <c r="K11" s="111">
        <f>'AZ'!L18+'GM資產組'!L18+'GS事務組'!M18+'台北總務組'!M18+'蘭陽'!M18</f>
        <v>74</v>
      </c>
      <c r="L11" s="111">
        <f>'AZ'!M18+'GM資產組'!M18+'GS事務組'!N18+'台北總務組'!N18+'蘭陽'!N18</f>
        <v>1116</v>
      </c>
      <c r="M11" s="111">
        <f>'AZ'!N18+'GM資產組'!N18+'GS事務組'!O18+'台北總務組'!O18+'蘭陽'!O18</f>
        <v>0</v>
      </c>
      <c r="N11" s="111">
        <f>'AZ'!O18+'GM資產組'!O18+'GS事務組'!P18+'台北總務組'!P18+'蘭陽'!P18</f>
        <v>426</v>
      </c>
      <c r="O11" s="111">
        <f>'AZ'!P18+'GM資產組'!P18+'GS事務組'!Q18+'台北總務組'!Q18+'蘭陽'!Q18</f>
        <v>0</v>
      </c>
      <c r="P11" s="111">
        <f>'AZ'!Q18+'GM資產組'!Q18+'GS事務組'!R18+'台北總務組'!R18+'蘭陽'!R18</f>
        <v>9.1</v>
      </c>
      <c r="Q11" s="111">
        <f>'AZ'!R18+'GM資產組'!R18+'GS事務組'!S18+'台北總務組'!S18+'蘭陽'!S18</f>
        <v>31</v>
      </c>
      <c r="R11" s="111">
        <f>'AZ'!S18+'GM資產組'!S18+'GS事務組'!T18+'台北總務組'!T18+'蘭陽'!T18</f>
        <v>18</v>
      </c>
      <c r="S11" s="111">
        <f>'AZ'!T18+'GM資產組'!T18+'GS事務組'!U18+'台北總務組'!U18+'蘭陽'!U18</f>
        <v>0.8</v>
      </c>
      <c r="T11" s="111">
        <f>'AZ'!U18+'GM資產組'!U18+'GS事務組'!V18+'台北總務組'!V18+'蘭陽'!V18</f>
        <v>10</v>
      </c>
      <c r="U11" s="111">
        <f>'AZ'!V18+'GM資產組'!V18+'GS事務組'!W18+'台北總務組'!W18+'蘭陽'!W18</f>
        <v>74</v>
      </c>
      <c r="V11" s="112" t="e">
        <f>'AZ'!W18+'GM資產組'!W17+'GS事務組'!X18+台北總務組!#REF!+'蘭陽'!X18</f>
        <v>#REF!</v>
      </c>
    </row>
    <row r="12" spans="1:22" s="83" customFormat="1" ht="19.5" customHeight="1">
      <c r="A12" s="109">
        <v>10</v>
      </c>
      <c r="B12" s="110" t="e">
        <f t="shared" si="0"/>
        <v>#REF!</v>
      </c>
      <c r="C12" s="111">
        <f>'AZ'!D19+'GM資產組'!D19+'GS事務組'!E19+'台北總務組'!E19+'蘭陽'!E19</f>
        <v>2771</v>
      </c>
      <c r="D12" s="111">
        <f>'AZ'!E19+'GM資產組'!G19+'GS事務組'!F19+'台北總務組'!F19+'蘭陽'!F19</f>
        <v>1000</v>
      </c>
      <c r="E12" s="111">
        <f>'AZ'!F19+'GM資產組'!F19+'GS事務組'!G19+'台北總務組'!G19+'蘭陽'!G19</f>
        <v>258</v>
      </c>
      <c r="F12" s="111">
        <f>'AZ'!G19+'GM資產組'!G19+'GS事務組'!H19+'台北總務組'!H19+'蘭陽'!H19</f>
        <v>1000</v>
      </c>
      <c r="G12" s="111">
        <f>'AZ'!H19+'GM資產組'!H19+'GS事務組'!I19+'台北總務組'!I19+'蘭陽'!I19</f>
        <v>0</v>
      </c>
      <c r="H12" s="111">
        <f>'AZ'!I19+'GM資產組'!I19+'GS事務組'!J19+'台北總務組'!J19+'蘭陽'!J19</f>
        <v>517</v>
      </c>
      <c r="I12" s="111">
        <f>'AZ'!J19+'GM資產組'!J19+'GS事務組'!K19+'台北總務組'!K19+'蘭陽'!K19</f>
        <v>217</v>
      </c>
      <c r="J12" s="111">
        <f>'AZ'!K19+'GM資產組'!K19+'GS事務組'!L19+'台北總務組'!L19+'蘭陽'!L19</f>
        <v>0</v>
      </c>
      <c r="K12" s="111">
        <f>'AZ'!L19+'GM資產組'!L19+'GS事務組'!M19+'台北總務組'!M19+'蘭陽'!M19</f>
        <v>186</v>
      </c>
      <c r="L12" s="111">
        <f>'AZ'!M19+'GM資產組'!M19+'GS事務組'!N19+'台北總務組'!N19+'蘭陽'!N19</f>
        <v>3612</v>
      </c>
      <c r="M12" s="111">
        <f>'AZ'!N19+'GM資產組'!N19+'GS事務組'!O19+'台北總務組'!O19+'蘭陽'!O19</f>
        <v>0</v>
      </c>
      <c r="N12" s="111">
        <f>'AZ'!O19+'GM資產組'!O19+'GS事務組'!P19+'台北總務組'!P19+'蘭陽'!P19</f>
        <v>698</v>
      </c>
      <c r="O12" s="111">
        <f>'AZ'!P19+'GM資產組'!P19+'GS事務組'!Q19+'台北總務組'!Q19+'蘭陽'!Q19</f>
        <v>0</v>
      </c>
      <c r="P12" s="111">
        <f>'AZ'!Q19+'GM資產組'!Q19+'GS事務組'!R19+'台北總務組'!R19+'蘭陽'!R19</f>
        <v>3</v>
      </c>
      <c r="Q12" s="111">
        <f>'AZ'!R19+'GM資產組'!R19+'GS事務組'!S19+'台北總務組'!S19+'蘭陽'!S19</f>
        <v>385</v>
      </c>
      <c r="R12" s="111">
        <f>'AZ'!S19+'GM資產組'!S19+'GS事務組'!T19+'台北總務組'!T19+'蘭陽'!T19</f>
        <v>174</v>
      </c>
      <c r="S12" s="111">
        <f>'AZ'!T19+'GM資產組'!T19+'GS事務組'!U19+'台北總務組'!U19+'蘭陽'!U19</f>
        <v>0</v>
      </c>
      <c r="T12" s="111">
        <f>'AZ'!U19+'GM資產組'!U19+'GS事務組'!V19+'台北總務組'!V19+'蘭陽'!V19</f>
        <v>3</v>
      </c>
      <c r="U12" s="111">
        <f>'AZ'!V19+'GM資產組'!V19+'GS事務組'!W19+'台北總務組'!W19+'蘭陽'!W19</f>
        <v>50</v>
      </c>
      <c r="V12" s="112" t="e">
        <f>'AZ'!W19+'GM資產組'!W18+'GS事務組'!X19+台北總務組!#REF!+'蘭陽'!X19</f>
        <v>#REF!</v>
      </c>
    </row>
    <row r="13" spans="1:22" s="83" customFormat="1" ht="19.5" customHeight="1">
      <c r="A13" s="109">
        <v>11</v>
      </c>
      <c r="B13" s="110" t="e">
        <f t="shared" si="0"/>
        <v>#REF!</v>
      </c>
      <c r="C13" s="111">
        <f>'AZ'!D20+'GM資產組'!D20+'GS事務組'!E20+'台北總務組'!E20+'蘭陽'!E20</f>
        <v>3078</v>
      </c>
      <c r="D13" s="111">
        <f>'AZ'!E20+'GM資產組'!G20+'GS事務組'!F20+'台北總務組'!F20+'蘭陽'!F20</f>
        <v>0</v>
      </c>
      <c r="E13" s="111">
        <f>'AZ'!F20+'GM資產組'!F20+'GS事務組'!G20+'台北總務組'!G20+'蘭陽'!G20</f>
        <v>300</v>
      </c>
      <c r="F13" s="111">
        <f>'AZ'!G20+'GM資產組'!G20+'GS事務組'!H20+'台北總務組'!H20+'蘭陽'!H20</f>
        <v>0</v>
      </c>
      <c r="G13" s="111">
        <f>'AZ'!H20+'GM資產組'!H20+'GS事務組'!I20+'台北總務組'!I20+'蘭陽'!I20</f>
        <v>0</v>
      </c>
      <c r="H13" s="111">
        <f>'AZ'!I20+'GM資產組'!I20+'GS事務組'!J20+'台北總務組'!J20+'蘭陽'!J20</f>
        <v>576</v>
      </c>
      <c r="I13" s="111">
        <f>'AZ'!J20+'GM資產組'!J20+'GS事務組'!K20+'台北總務組'!K20+'蘭陽'!K20</f>
        <v>225</v>
      </c>
      <c r="J13" s="111">
        <f>'AZ'!K20+'GM資產組'!K20+'GS事務組'!L20+'台北總務組'!L20+'蘭陽'!L20</f>
        <v>0</v>
      </c>
      <c r="K13" s="111">
        <f>'AZ'!L20+'GM資產組'!L20+'GS事務組'!M20+'台北總務組'!M20+'蘭陽'!M20</f>
        <v>0</v>
      </c>
      <c r="L13" s="111">
        <f>'AZ'!M20+'GM資產組'!M20+'GS事務組'!N20+'台北總務組'!N20+'蘭陽'!N20</f>
        <v>0</v>
      </c>
      <c r="M13" s="111">
        <f>'AZ'!N20+'GM資產組'!N20+'GS事務組'!O20+'台北總務組'!O20+'蘭陽'!O20</f>
        <v>0</v>
      </c>
      <c r="N13" s="111">
        <f>'AZ'!O20+'GM資產組'!O20+'GS事務組'!P20+'台北總務組'!P20+'蘭陽'!P20</f>
        <v>738</v>
      </c>
      <c r="O13" s="111">
        <f>'AZ'!P20+'GM資產組'!P20+'GS事務組'!Q20+'台北總務組'!Q20+'蘭陽'!Q20</f>
        <v>0</v>
      </c>
      <c r="P13" s="111">
        <f>'AZ'!Q20+'GM資產組'!Q20+'GS事務組'!R20+'台北總務組'!R20+'蘭陽'!R20</f>
        <v>14.2</v>
      </c>
      <c r="Q13" s="111">
        <f>'AZ'!R20+'GM資產組'!R20+'GS事務組'!S20+'台北總務組'!S20+'蘭陽'!S20</f>
        <v>15</v>
      </c>
      <c r="R13" s="111">
        <f>'AZ'!S20+'GM資產組'!S20+'GS事務組'!T20+'台北總務組'!T20+'蘭陽'!T20</f>
        <v>30</v>
      </c>
      <c r="S13" s="111">
        <f>'AZ'!T20+'GM資產組'!T20+'GS事務組'!U20+'台北總務組'!U20+'蘭陽'!U20</f>
        <v>1</v>
      </c>
      <c r="T13" s="111">
        <f>'AZ'!U20+'GM資產組'!U20+'GS事務組'!V20+'台北總務組'!V20+'蘭陽'!V20</f>
        <v>1</v>
      </c>
      <c r="U13" s="111">
        <f>'AZ'!V20+'GM資產組'!V20+'GS事務組'!W20+'台北總務組'!W20+'蘭陽'!W20</f>
        <v>171</v>
      </c>
      <c r="V13" s="112" t="e">
        <f>'AZ'!W20+'GM資產組'!W19+'GS事務組'!X20+台北總務組!#REF!+'蘭陽'!X20</f>
        <v>#REF!</v>
      </c>
    </row>
    <row r="14" spans="1:22" s="83" customFormat="1" ht="19.5" customHeight="1" thickBot="1">
      <c r="A14" s="113">
        <v>12</v>
      </c>
      <c r="B14" s="162" t="e">
        <f t="shared" si="0"/>
        <v>#REF!</v>
      </c>
      <c r="C14" s="111">
        <f>'AZ'!D33+'GM資產組'!D35+'GS事務組'!E21+'台北總務組'!E21+'蘭陽'!E21</f>
        <v>3286</v>
      </c>
      <c r="D14" s="111">
        <f>'AZ'!E33+'GM資產組'!E35+'GS事務組'!F21+'台北總務組'!F21+'蘭陽'!F21</f>
        <v>0</v>
      </c>
      <c r="E14" s="111">
        <f>'AZ'!F33+'GM資產組'!F35+'GS事務組'!G21+'台北總務組'!G21+'蘭陽'!G21</f>
        <v>268</v>
      </c>
      <c r="F14" s="111">
        <f>'AZ'!G21+'GM資產組'!G21+'GS事務組'!H21+'台北總務組'!H21+'蘭陽'!H21</f>
        <v>250</v>
      </c>
      <c r="G14" s="111">
        <f>'AZ'!H33+'GM資產組'!H35+'GS事務組'!I21+'台北總務組'!I21+'蘭陽'!I21</f>
        <v>0</v>
      </c>
      <c r="H14" s="111">
        <f>'AZ'!I33+'GM資產組'!I35+'GS事務組'!J21+'台北總務組'!J21+'蘭陽'!J21</f>
        <v>523</v>
      </c>
      <c r="I14" s="111">
        <f>'AZ'!J33+'GM資產組'!J35+'GS事務組'!K21+'台北總務組'!K21+'蘭陽'!K21</f>
        <v>301</v>
      </c>
      <c r="J14" s="111">
        <f>'AZ'!K33+'GM資產組'!K35+'GS事務組'!L21+'台北總務組'!L21+'蘭陽'!L21</f>
        <v>0</v>
      </c>
      <c r="K14" s="111">
        <f>'AZ'!L33+'GM資產組'!L35+'GS事務組'!M21+'台北總務組'!M21+'蘭陽'!M21</f>
        <v>0</v>
      </c>
      <c r="L14" s="111">
        <f>'AZ'!M33+'GM資產組'!M35+'GS事務組'!N21+'台北總務組'!N21+'蘭陽'!N21</f>
        <v>0</v>
      </c>
      <c r="M14" s="111">
        <f>'AZ'!N33+'GM資產組'!N35+'GS事務組'!O21+'台北總務組'!O21+'蘭陽'!O21</f>
        <v>0</v>
      </c>
      <c r="N14" s="111">
        <f>'AZ'!O33+'GM資產組'!O35+'GS事務組'!P21+'台北總務組'!P21+'蘭陽'!P21</f>
        <v>565</v>
      </c>
      <c r="O14" s="111">
        <f>'AZ'!P33+'GM資產組'!P35+'GS事務組'!Q21+'台北總務組'!Q21+'蘭陽'!Q21</f>
        <v>0</v>
      </c>
      <c r="P14" s="111">
        <f>'AZ'!Q33+'GM資產組'!Q35+'GS事務組'!R21+'台北總務組'!R21+'蘭陽'!R21</f>
        <v>2.05</v>
      </c>
      <c r="Q14" s="111">
        <f>'AZ'!R33+'GM資產組'!R35+'GS事務組'!S21+'台北總務組'!S21+'蘭陽'!S21</f>
        <v>0</v>
      </c>
      <c r="R14" s="111">
        <f>'AZ'!S33+'GM資產組'!S35+'GS事務組'!T21+'台北總務組'!T21+'蘭陽'!T21</f>
        <v>5</v>
      </c>
      <c r="S14" s="111">
        <f>'AZ'!T33+'GM資產組'!T35+'GS事務組'!U21+'台北總務組'!U21+'蘭陽'!U21</f>
        <v>0.5</v>
      </c>
      <c r="T14" s="111">
        <f>'AZ'!U33+'GM資產組'!U35+'GS事務組'!V21+'台北總務組'!V21+'蘭陽'!V21</f>
        <v>4.1</v>
      </c>
      <c r="U14" s="111">
        <f>'AZ'!V33+'GM資產組'!V35+'GS事務組'!W21+'台北總務組'!W21+'蘭陽'!W21</f>
        <v>37.5</v>
      </c>
      <c r="V14" s="112" t="e">
        <f>'AZ'!W33+'GM資產組'!W34+'GS事務組'!X21+台北總務組!#REF!+'蘭陽'!X21</f>
        <v>#REF!</v>
      </c>
    </row>
    <row r="15" spans="1:22" s="82" customFormat="1" ht="19.5" customHeight="1" thickTop="1">
      <c r="A15" s="114" t="s">
        <v>27</v>
      </c>
      <c r="B15" s="161" t="e">
        <f t="shared" si="0"/>
        <v>#REF!</v>
      </c>
      <c r="C15" s="115">
        <f aca="true" t="shared" si="1" ref="C15:V15">SUM(C3:C14)</f>
        <v>28209.3</v>
      </c>
      <c r="D15" s="129">
        <f t="shared" si="1"/>
        <v>4880</v>
      </c>
      <c r="E15" s="115">
        <f t="shared" si="1"/>
        <v>2770.26</v>
      </c>
      <c r="F15" s="115">
        <f t="shared" si="1"/>
        <v>6383.1</v>
      </c>
      <c r="G15" s="115">
        <f t="shared" si="1"/>
        <v>0</v>
      </c>
      <c r="H15" s="115">
        <f t="shared" si="1"/>
        <v>4539.216806722689</v>
      </c>
      <c r="I15" s="115">
        <f t="shared" si="1"/>
        <v>2650.6000000000004</v>
      </c>
      <c r="J15" s="115">
        <f t="shared" si="1"/>
        <v>0</v>
      </c>
      <c r="K15" s="115">
        <f t="shared" si="1"/>
        <v>2735</v>
      </c>
      <c r="L15" s="115">
        <f t="shared" si="1"/>
        <v>10680</v>
      </c>
      <c r="M15" s="115">
        <f t="shared" si="1"/>
        <v>0</v>
      </c>
      <c r="N15" s="115">
        <f>SUM(N3:N14)</f>
        <v>4416</v>
      </c>
      <c r="O15" s="115">
        <f t="shared" si="1"/>
        <v>0</v>
      </c>
      <c r="P15" s="115">
        <f t="shared" si="1"/>
        <v>109.35000000000001</v>
      </c>
      <c r="Q15" s="115">
        <f t="shared" si="1"/>
        <v>556.4</v>
      </c>
      <c r="R15" s="129">
        <f>SUM(R3:R14)</f>
        <v>1336</v>
      </c>
      <c r="S15" s="115">
        <f t="shared" si="1"/>
        <v>11.5</v>
      </c>
      <c r="T15" s="115">
        <f t="shared" si="1"/>
        <v>54.800000000000004</v>
      </c>
      <c r="U15" s="115">
        <f t="shared" si="1"/>
        <v>737.75</v>
      </c>
      <c r="V15" s="116" t="e">
        <f t="shared" si="1"/>
        <v>#REF!</v>
      </c>
    </row>
    <row r="16" spans="1:22" s="82" customFormat="1" ht="31.5" customHeight="1" thickBot="1">
      <c r="A16" s="117" t="s">
        <v>48</v>
      </c>
      <c r="B16" s="118" t="e">
        <f>B15/12</f>
        <v>#REF!</v>
      </c>
      <c r="C16" s="118">
        <f aca="true" t="shared" si="2" ref="C16:V16">C15/12</f>
        <v>2350.775</v>
      </c>
      <c r="D16" s="118">
        <f t="shared" si="2"/>
        <v>406.6666666666667</v>
      </c>
      <c r="E16" s="118">
        <f t="shared" si="2"/>
        <v>230.85500000000002</v>
      </c>
      <c r="F16" s="118">
        <f t="shared" si="2"/>
        <v>531.9250000000001</v>
      </c>
      <c r="G16" s="118">
        <f t="shared" si="2"/>
        <v>0</v>
      </c>
      <c r="H16" s="118">
        <f t="shared" si="2"/>
        <v>378.26806722689076</v>
      </c>
      <c r="I16" s="118">
        <f t="shared" si="2"/>
        <v>220.88333333333335</v>
      </c>
      <c r="J16" s="118">
        <f t="shared" si="2"/>
        <v>0</v>
      </c>
      <c r="K16" s="118">
        <f t="shared" si="2"/>
        <v>227.91666666666666</v>
      </c>
      <c r="L16" s="118">
        <f t="shared" si="2"/>
        <v>890</v>
      </c>
      <c r="M16" s="118">
        <f t="shared" si="2"/>
        <v>0</v>
      </c>
      <c r="N16" s="118">
        <f t="shared" si="2"/>
        <v>368</v>
      </c>
      <c r="O16" s="118">
        <f t="shared" si="2"/>
        <v>0</v>
      </c>
      <c r="P16" s="118">
        <f t="shared" si="2"/>
        <v>9.1125</v>
      </c>
      <c r="Q16" s="118">
        <f t="shared" si="2"/>
        <v>46.36666666666667</v>
      </c>
      <c r="R16" s="118">
        <f t="shared" si="2"/>
        <v>111.33333333333333</v>
      </c>
      <c r="S16" s="118">
        <f t="shared" si="2"/>
        <v>0.9583333333333334</v>
      </c>
      <c r="T16" s="118">
        <f t="shared" si="2"/>
        <v>4.566666666666667</v>
      </c>
      <c r="U16" s="118">
        <f t="shared" si="2"/>
        <v>61.479166666666664</v>
      </c>
      <c r="V16" s="119" t="e">
        <f t="shared" si="2"/>
        <v>#REF!</v>
      </c>
    </row>
  </sheetData>
  <sheetProtection/>
  <printOptions/>
  <pageMargins left="0.1968503937007874" right="0.07874015748031496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V15"/>
  <sheetViews>
    <sheetView zoomScalePageLayoutView="0" workbookViewId="0" topLeftCell="A1">
      <selection activeCell="I2" sqref="I2"/>
    </sheetView>
  </sheetViews>
  <sheetFormatPr defaultColWidth="9.00390625" defaultRowHeight="16.5"/>
  <cols>
    <col min="1" max="1" width="4.75390625" style="139" customWidth="1"/>
    <col min="2" max="2" width="8.125" style="139" customWidth="1"/>
    <col min="3" max="3" width="7.00390625" style="139" customWidth="1"/>
    <col min="4" max="4" width="5.75390625" style="139" customWidth="1"/>
    <col min="5" max="5" width="7.375" style="139" customWidth="1"/>
    <col min="6" max="6" width="7.75390625" style="139" customWidth="1"/>
    <col min="7" max="7" width="5.75390625" style="139" customWidth="1"/>
    <col min="8" max="8" width="7.00390625" style="139" customWidth="1"/>
    <col min="9" max="9" width="6.625" style="139" customWidth="1"/>
    <col min="10" max="10" width="5.50390625" style="139" customWidth="1"/>
    <col min="11" max="11" width="6.00390625" style="139" customWidth="1"/>
    <col min="12" max="12" width="7.375" style="139" customWidth="1"/>
    <col min="13" max="13" width="4.00390625" style="139" customWidth="1"/>
    <col min="14" max="14" width="6.375" style="139" customWidth="1"/>
    <col min="15" max="15" width="4.375" style="139" customWidth="1"/>
    <col min="16" max="17" width="5.25390625" style="139" customWidth="1"/>
    <col min="18" max="18" width="6.125" style="139" customWidth="1"/>
    <col min="19" max="19" width="5.25390625" style="139" customWidth="1"/>
    <col min="20" max="20" width="3.875" style="139" customWidth="1"/>
    <col min="21" max="21" width="4.625" style="139" customWidth="1"/>
    <col min="22" max="16384" width="9.00390625" style="139" customWidth="1"/>
  </cols>
  <sheetData>
    <row r="1" spans="1:22" ht="60">
      <c r="A1" s="136" t="s">
        <v>69</v>
      </c>
      <c r="B1" s="137" t="s">
        <v>50</v>
      </c>
      <c r="C1" s="137" t="s">
        <v>2</v>
      </c>
      <c r="D1" s="137" t="s">
        <v>3</v>
      </c>
      <c r="E1" s="137" t="s">
        <v>4</v>
      </c>
      <c r="F1" s="137" t="s">
        <v>20</v>
      </c>
      <c r="G1" s="137" t="s">
        <v>36</v>
      </c>
      <c r="H1" s="137" t="s">
        <v>21</v>
      </c>
      <c r="I1" s="137" t="s">
        <v>22</v>
      </c>
      <c r="J1" s="137" t="s">
        <v>9</v>
      </c>
      <c r="K1" s="137" t="s">
        <v>10</v>
      </c>
      <c r="L1" s="137" t="s">
        <v>11</v>
      </c>
      <c r="M1" s="137" t="s">
        <v>12</v>
      </c>
      <c r="N1" s="137" t="s">
        <v>13</v>
      </c>
      <c r="O1" s="137" t="s">
        <v>14</v>
      </c>
      <c r="P1" s="137" t="s">
        <v>15</v>
      </c>
      <c r="Q1" s="137" t="s">
        <v>23</v>
      </c>
      <c r="R1" s="137" t="s">
        <v>60</v>
      </c>
      <c r="S1" s="137" t="s">
        <v>24</v>
      </c>
      <c r="T1" s="137" t="s">
        <v>25</v>
      </c>
      <c r="U1" s="137" t="s">
        <v>26</v>
      </c>
      <c r="V1" s="138" t="s">
        <v>49</v>
      </c>
    </row>
    <row r="2" spans="1:22" ht="15">
      <c r="A2" s="109">
        <v>1</v>
      </c>
      <c r="B2" s="110" t="e">
        <f>SUM(C2:V2)</f>
        <v>#REF!</v>
      </c>
      <c r="C2" s="111">
        <f>'AZ'!D22+'GM資產組'!D22+'GS事務組'!E22+'台北總務組'!E22+'蘭陽'!E22</f>
        <v>2870</v>
      </c>
      <c r="D2" s="111">
        <f>'AZ'!E22+'GM資產組'!G22+'GS事務組'!F22+'台北總務組'!F22+'蘭陽'!F22</f>
        <v>164</v>
      </c>
      <c r="E2" s="111">
        <f>'AZ'!F22+'GM資產組'!F22+'GS事務組'!G22+'台北總務組'!G22+'蘭陽'!G22</f>
        <v>484</v>
      </c>
      <c r="F2" s="111">
        <f>'AZ'!G22+'GM資產組'!G22+'GS事務組'!H22+'台北總務組'!H22+'蘭陽'!H22</f>
        <v>164</v>
      </c>
      <c r="G2" s="111">
        <f>'AZ'!H22+'GM資產組'!H22+'GS事務組'!I22+'台北總務組'!I22+'蘭陽'!I22</f>
        <v>0</v>
      </c>
      <c r="H2" s="111">
        <f>'AZ'!I22+'GM資產組'!I22+'GS事務組'!J22+'台北總務組'!J22+'蘭陽'!J22</f>
        <v>787</v>
      </c>
      <c r="I2" s="111">
        <f>'AZ'!J22+'GM資產組'!J22+'GS事務組'!K22+'台北總務組'!K22+'蘭陽'!K22</f>
        <v>206</v>
      </c>
      <c r="J2" s="111">
        <f>'AZ'!K22+'GM資產組'!K22+'GS事務組'!L22+'台北總務組'!L22+'蘭陽'!L22</f>
        <v>0</v>
      </c>
      <c r="K2" s="111">
        <f>'AZ'!L22+'GM資產組'!L22+'GS事務組'!M22+'台北總務組'!M22+'蘭陽'!M22</f>
        <v>260</v>
      </c>
      <c r="L2" s="111">
        <f>'AZ'!M22+'GM資產組'!M22+'GS事務組'!N22+'台北總務組'!N22+'蘭陽'!N22</f>
        <v>1188</v>
      </c>
      <c r="M2" s="111">
        <f>'AZ'!N22+'GM資產組'!N22+'GS事務組'!O22+'台北總務組'!O22+'蘭陽'!O22</f>
        <v>0</v>
      </c>
      <c r="N2" s="111">
        <f>'AZ'!O22+'GM資產組'!O22+'GS事務組'!P22+'台北總務組'!P22+'蘭陽'!P22</f>
        <v>298</v>
      </c>
      <c r="O2" s="111">
        <f>'AZ'!P22+'GM資產組'!P22+'GS事務組'!Q22+'台北總務組'!Q22+'蘭陽'!Q22</f>
        <v>0</v>
      </c>
      <c r="P2" s="111">
        <f>'AZ'!Q22+'GM資產組'!Q22+'GS事務組'!R22+'台北總務組'!R22+'蘭陽'!R22</f>
        <v>29.599999999999998</v>
      </c>
      <c r="Q2" s="111">
        <f>'AZ'!R22+'GM資產組'!R22+'GS事務組'!S22+'台北總務組'!S22+'蘭陽'!S22</f>
        <v>0</v>
      </c>
      <c r="R2" s="111">
        <f>'AZ'!S22+'GM資產組'!S22+'GS事務組'!T22+'台北總務組'!T22+'蘭陽'!T22</f>
        <v>3</v>
      </c>
      <c r="S2" s="111">
        <f>'AZ'!T22+'GM資產組'!T22+'GS事務組'!U22+'台北總務組'!U22+'蘭陽'!U22</f>
        <v>6</v>
      </c>
      <c r="T2" s="111">
        <f>'AZ'!U22+'GM資產組'!U22+'GS事務組'!V22+'台北總務組'!V22+'蘭陽'!V22</f>
        <v>0</v>
      </c>
      <c r="U2" s="111">
        <f>'AZ'!V22+'GM資產組'!V22+'GS事務組'!W22+'台北總務組'!W22+'蘭陽'!W22</f>
        <v>0</v>
      </c>
      <c r="V2" s="112" t="e">
        <f>'AZ'!W22+'GM資產組'!W21+'GS事務組'!X22+台北總務組!#REF!+'蘭陽'!X22</f>
        <v>#REF!</v>
      </c>
    </row>
    <row r="3" spans="1:22" ht="15">
      <c r="A3" s="109">
        <v>2</v>
      </c>
      <c r="B3" s="110" t="e">
        <f aca="true" t="shared" si="0" ref="B3:B13">SUM(C3:V3)</f>
        <v>#REF!</v>
      </c>
      <c r="C3" s="111">
        <f>'AZ'!D23+'GM資產組'!D23+'GS事務組'!E23+'台北總務組'!E23+'蘭陽'!E23</f>
        <v>669</v>
      </c>
      <c r="D3" s="111">
        <f>'AZ'!E23+'GM資產組'!G23+'GS事務組'!F23+'台北總務組'!F23+'蘭陽'!F23</f>
        <v>0</v>
      </c>
      <c r="E3" s="111">
        <f>'AZ'!F23+'GM資產組'!F23+'GS事務組'!G23+'台北總務組'!G23+'蘭陽'!G23</f>
        <v>44</v>
      </c>
      <c r="F3" s="111">
        <f>'AZ'!G23+'GM資產組'!G23+'GS事務組'!H23+'台北總務組'!H23+'蘭陽'!H23</f>
        <v>0</v>
      </c>
      <c r="G3" s="111">
        <f>'AZ'!H23+'GM資產組'!H23+'GS事務組'!I23+'台北總務組'!I23+'蘭陽'!I23</f>
        <v>0</v>
      </c>
      <c r="H3" s="111">
        <f>'AZ'!I23+'GM資產組'!I23+'GS事務組'!J23+'台北總務組'!J23+'蘭陽'!J23</f>
        <v>142</v>
      </c>
      <c r="I3" s="111">
        <f>'AZ'!J23+'GM資產組'!J23+'GS事務組'!K23+'台北總務組'!K23+'蘭陽'!K23</f>
        <v>5</v>
      </c>
      <c r="J3" s="111">
        <f>'AZ'!K23+'GM資產組'!K23+'GS事務組'!L23+'台北總務組'!L23+'蘭陽'!L23</f>
        <v>0</v>
      </c>
      <c r="K3" s="111">
        <f>'AZ'!L23+'GM資產組'!L23+'GS事務組'!M23+'台北總務組'!M23+'蘭陽'!M23</f>
        <v>0</v>
      </c>
      <c r="L3" s="111">
        <f>'AZ'!M23+'GM資產組'!M23+'GS事務組'!N23+'台北總務組'!N23+'蘭陽'!N23</f>
        <v>0</v>
      </c>
      <c r="M3" s="111">
        <f>'AZ'!N23+'GM資產組'!N23+'GS事務組'!O23+'台北總務組'!O23+'蘭陽'!O23</f>
        <v>0</v>
      </c>
      <c r="N3" s="111">
        <f>'AZ'!O23+'GM資產組'!O23+'GS事務組'!P23+'台北總務組'!P23+'蘭陽'!P23</f>
        <v>29</v>
      </c>
      <c r="O3" s="111">
        <f>'AZ'!P23+'GM資產組'!P23+'GS事務組'!Q23+'台北總務組'!Q23+'蘭陽'!Q23</f>
        <v>0</v>
      </c>
      <c r="P3" s="111">
        <f>'AZ'!Q23+'GM資產組'!Q23+'GS事務組'!R23+'台北總務組'!R23+'蘭陽'!R23</f>
        <v>43.7</v>
      </c>
      <c r="Q3" s="111">
        <f>'AZ'!R23+'GM資產組'!R23+'GS事務組'!S23+'台北總務組'!S23+'蘭陽'!S23</f>
        <v>0</v>
      </c>
      <c r="R3" s="111">
        <f>'AZ'!S23+'GM資產組'!S23+'GS事務組'!T23+'台北總務組'!T23+'蘭陽'!T23</f>
        <v>113</v>
      </c>
      <c r="S3" s="111">
        <f>'AZ'!T23+'GM資產組'!T23+'GS事務組'!U23+'台北總務組'!U23+'蘭陽'!U23</f>
        <v>2</v>
      </c>
      <c r="T3" s="111">
        <f>'AZ'!U23+'GM資產組'!U23+'GS事務組'!V23+'台北總務組'!V23+'蘭陽'!V23</f>
        <v>0.5</v>
      </c>
      <c r="U3" s="111">
        <f>'AZ'!V23+'GM資產組'!V23+'GS事務組'!W23+'台北總務組'!W23+'蘭陽'!W23</f>
        <v>38</v>
      </c>
      <c r="V3" s="112" t="e">
        <f>'AZ'!W23+'GM資產組'!W22+'GS事務組'!X23+台北總務組!#REF!+'蘭陽'!X23</f>
        <v>#REF!</v>
      </c>
    </row>
    <row r="4" spans="1:22" ht="15">
      <c r="A4" s="109">
        <v>3</v>
      </c>
      <c r="B4" s="110" t="e">
        <f t="shared" si="0"/>
        <v>#REF!</v>
      </c>
      <c r="C4" s="111">
        <f>'AZ'!D24+'GM資產組'!D24+'GS事務組'!E24+'台北總務組'!E24+'蘭陽'!E24</f>
        <v>3192</v>
      </c>
      <c r="D4" s="111">
        <f>'AZ'!E24+'GM資產組'!G24+'GS事務組'!F24+'台北總務組'!F24+'蘭陽'!F24</f>
        <v>572</v>
      </c>
      <c r="E4" s="111">
        <f>'AZ'!F24+'GM資產組'!F24+'GS事務組'!G24+'台北總務組'!G24+'蘭陽'!G24</f>
        <v>118</v>
      </c>
      <c r="F4" s="111">
        <f>'AZ'!G24+'GM資產組'!G24+'GS事務組'!H24+'台北總務組'!H24+'蘭陽'!H24</f>
        <v>572</v>
      </c>
      <c r="G4" s="111">
        <f>'AZ'!H24+'GM資產組'!H24+'GS事務組'!I24+'台北總務組'!I24+'蘭陽'!I24</f>
        <v>0</v>
      </c>
      <c r="H4" s="111">
        <f>'AZ'!I24+'GM資產組'!I24+'GS事務組'!J24+'台北總務組'!J24+'蘭陽'!J24</f>
        <v>542</v>
      </c>
      <c r="I4" s="111">
        <f>'AZ'!J24+'GM資產組'!J24+'GS事務組'!K24+'台北總務組'!K24+'蘭陽'!K24</f>
        <v>53</v>
      </c>
      <c r="J4" s="111">
        <f>'AZ'!K24+'GM資產組'!K24+'GS事務組'!L24+'台北總務組'!L24+'蘭陽'!L24</f>
        <v>0</v>
      </c>
      <c r="K4" s="111">
        <f>'AZ'!L24+'GM資產組'!L24+'GS事務組'!M24+'台北總務組'!M24+'蘭陽'!M24</f>
        <v>140</v>
      </c>
      <c r="L4" s="111">
        <f>'AZ'!M24+'GM資產組'!M24+'GS事務組'!N24+'台北總務組'!N24+'蘭陽'!N24</f>
        <v>1116</v>
      </c>
      <c r="M4" s="111">
        <f>'AZ'!N24+'GM資產組'!N24+'GS事務組'!O24+'台北總務組'!O24+'蘭陽'!O24</f>
        <v>0</v>
      </c>
      <c r="N4" s="111">
        <f>'AZ'!O24+'GM資產組'!O24+'GS事務組'!P24+'台北總務組'!P24+'蘭陽'!P24</f>
        <v>434</v>
      </c>
      <c r="O4" s="111">
        <f>'AZ'!P24+'GM資產組'!P24+'GS事務組'!Q24+'台北總務組'!Q24+'蘭陽'!Q24</f>
        <v>0</v>
      </c>
      <c r="P4" s="111">
        <f>'AZ'!Q24+'GM資產組'!Q24+'GS事務組'!R24+'台北總務組'!R24+'蘭陽'!R24</f>
        <v>45.32</v>
      </c>
      <c r="Q4" s="111">
        <f>'AZ'!R24+'GM資產組'!R24+'GS事務組'!S24+'台北總務組'!S24+'蘭陽'!S24</f>
        <v>0</v>
      </c>
      <c r="R4" s="111">
        <f>'AZ'!S24+'GM資產組'!S24+'GS事務組'!T24+'台北總務組'!T24+'蘭陽'!T24</f>
        <v>4</v>
      </c>
      <c r="S4" s="111">
        <f>'AZ'!T24+'GM資產組'!T24+'GS事務組'!U24+'台北總務組'!U24+'蘭陽'!U24</f>
        <v>10</v>
      </c>
      <c r="T4" s="111">
        <f>'AZ'!U24+'GM資產組'!U24+'GS事務組'!V24+'台北總務組'!V24+'蘭陽'!V24</f>
        <v>0.9</v>
      </c>
      <c r="U4" s="111">
        <f>'AZ'!V24+'GM資產組'!V24+'GS事務組'!W24+'台北總務組'!W24+'蘭陽'!W24</f>
        <v>46.5</v>
      </c>
      <c r="V4" s="112" t="e">
        <f>'AZ'!W24+'GM資產組'!W23+'GS事務組'!X24+台北總務組!#REF!+'蘭陽'!X24</f>
        <v>#REF!</v>
      </c>
    </row>
    <row r="5" spans="1:22" ht="15">
      <c r="A5" s="109">
        <v>4</v>
      </c>
      <c r="B5" s="110" t="e">
        <f t="shared" si="0"/>
        <v>#REF!</v>
      </c>
      <c r="C5" s="111">
        <f>'AZ'!D25+'GM資產組'!D25+'GS事務組'!E25+'台北總務組'!E25+'蘭陽'!E25</f>
        <v>2498</v>
      </c>
      <c r="D5" s="111">
        <f>'AZ'!E25+'GM資產組'!G25+'GS事務組'!F25+'台北總務組'!F25+'蘭陽'!F25</f>
        <v>0</v>
      </c>
      <c r="E5" s="111">
        <f>'AZ'!F25+'GM資產組'!F25+'GS事務組'!G25+'台北總務組'!G25+'蘭陽'!G25</f>
        <v>103</v>
      </c>
      <c r="F5" s="111">
        <f>'AZ'!G25+'GM資產組'!G25+'GS事務組'!H25+'台北總務組'!H25+'蘭陽'!H25</f>
        <v>0</v>
      </c>
      <c r="G5" s="111">
        <f>'AZ'!H25+'GM資產組'!H25+'GS事務組'!I25+'台北總務組'!I25+'蘭陽'!I25</f>
        <v>0</v>
      </c>
      <c r="H5" s="111">
        <f>'AZ'!I25+'GM資產組'!I25+'GS事務組'!J25+'台北總務組'!J25+'蘭陽'!J25</f>
        <v>372</v>
      </c>
      <c r="I5" s="111">
        <f>'AZ'!J25+'GM資產組'!J25+'GS事務組'!K25+'台北總務組'!K25+'蘭陽'!K25</f>
        <v>13</v>
      </c>
      <c r="J5" s="111">
        <f>'AZ'!K25+'GM資產組'!K25+'GS事務組'!L25+'台北總務組'!L25+'蘭陽'!L25</f>
        <v>0</v>
      </c>
      <c r="K5" s="111">
        <f>'AZ'!L25+'GM資產組'!L25+'GS事務組'!M25+'台北總務組'!M25+'蘭陽'!M25</f>
        <v>0</v>
      </c>
      <c r="L5" s="111">
        <f>'AZ'!M25+'GM資產組'!M25+'GS事務組'!N25+'台北總務組'!N25+'蘭陽'!N25</f>
        <v>0</v>
      </c>
      <c r="M5" s="111">
        <f>'AZ'!N25+'GM資產組'!N25+'GS事務組'!O25+'台北總務組'!O25+'蘭陽'!O25</f>
        <v>0</v>
      </c>
      <c r="N5" s="111">
        <f>'AZ'!O25+'GM資產組'!O25+'GS事務組'!P25+'台北總務組'!P25+'蘭陽'!P25</f>
        <v>662</v>
      </c>
      <c r="O5" s="111">
        <f>'AZ'!P25+'GM資產組'!P25+'GS事務組'!Q25+'台北總務組'!Q25+'蘭陽'!Q25</f>
        <v>0</v>
      </c>
      <c r="P5" s="111">
        <f>'AZ'!Q25+'GM資產組'!Q25+'GS事務組'!R25+'台北總務組'!R25+'蘭陽'!R25</f>
        <v>65.24</v>
      </c>
      <c r="Q5" s="111">
        <f>'AZ'!R25+'GM資產組'!R25+'GS事務組'!S25+'台北總務組'!S25+'蘭陽'!S25</f>
        <v>14</v>
      </c>
      <c r="R5" s="111">
        <f>'AZ'!S25+'GM資產組'!S25+'GS事務組'!T25+'台北總務組'!T25+'蘭陽'!T25</f>
        <v>3</v>
      </c>
      <c r="S5" s="111">
        <f>'AZ'!T25+'GM資產組'!T25+'GS事務組'!U25+'台北總務組'!U25+'蘭陽'!U25</f>
        <v>5</v>
      </c>
      <c r="T5" s="111">
        <f>'AZ'!U25+'GM資產組'!U25+'GS事務組'!V25+'台北總務組'!V25+'蘭陽'!V25</f>
        <v>0</v>
      </c>
      <c r="U5" s="111">
        <f>'AZ'!V25+'GM資產組'!V25+'GS事務組'!W25+'台北總務組'!W25+'蘭陽'!W25</f>
        <v>47</v>
      </c>
      <c r="V5" s="112" t="e">
        <f>'AZ'!W25+'GM資產組'!W24+'GS事務組'!X25+台北總務組!#REF!+'蘭陽'!X25</f>
        <v>#REF!</v>
      </c>
    </row>
    <row r="6" spans="1:22" ht="15">
      <c r="A6" s="109">
        <v>5</v>
      </c>
      <c r="B6" s="110" t="e">
        <f t="shared" si="0"/>
        <v>#REF!</v>
      </c>
      <c r="C6" s="111">
        <f>'AZ'!D26+'GM資產組'!D26+'GS事務組'!E26+'台北總務組'!E26+'蘭陽'!E26</f>
        <v>2768</v>
      </c>
      <c r="D6" s="111">
        <f>'AZ'!E26+'GM資產組'!G26+'GS事務組'!F26+'台北總務組'!F26+'蘭陽'!F26</f>
        <v>206</v>
      </c>
      <c r="E6" s="111">
        <f>'AZ'!F26+'GM資產組'!F26+'GS事務組'!G26+'台北總務組'!G26+'蘭陽'!G26</f>
        <v>116</v>
      </c>
      <c r="F6" s="111">
        <f>'AZ'!G26+'GM資產組'!G26+'GS事務組'!H26+'台北總務組'!H26+'蘭陽'!H26</f>
        <v>206</v>
      </c>
      <c r="G6" s="111">
        <f>'AZ'!H26+'GM資產組'!H26+'GS事務組'!I26+'台北總務組'!I26+'蘭陽'!I26</f>
        <v>0</v>
      </c>
      <c r="H6" s="111">
        <f>'AZ'!I26+'GM資產組'!I26+'GS事務組'!J26+'台北總務組'!J26+'蘭陽'!J26</f>
        <v>538</v>
      </c>
      <c r="I6" s="111">
        <f>'AZ'!J26+'GM資產組'!J26+'GS事務組'!K26+'台北總務組'!K26+'蘭陽'!K26</f>
        <v>69</v>
      </c>
      <c r="J6" s="111">
        <f>'AZ'!K26+'GM資產組'!K26+'GS事務組'!L26+'台北總務組'!L26+'蘭陽'!L26</f>
        <v>0</v>
      </c>
      <c r="K6" s="111">
        <f>'AZ'!L26+'GM資產組'!L26+'GS事務組'!M26+'台北總務組'!M26+'蘭陽'!M26</f>
        <v>100</v>
      </c>
      <c r="L6" s="111">
        <f>'AZ'!M26+'GM資產組'!M26+'GS事務組'!N26+'台北總務組'!N26+'蘭陽'!N26</f>
        <v>1260</v>
      </c>
      <c r="M6" s="111">
        <f>'AZ'!N26+'GM資產組'!N26+'GS事務組'!O26+'台北總務組'!O26+'蘭陽'!O26</f>
        <v>0</v>
      </c>
      <c r="N6" s="111">
        <f>'AZ'!O26+'GM資產組'!O26+'GS事務組'!P26+'台北總務組'!P26+'蘭陽'!P26</f>
        <v>394</v>
      </c>
      <c r="O6" s="111">
        <f>'AZ'!P26+'GM資產組'!P26+'GS事務組'!Q26+'台北總務組'!Q26+'蘭陽'!Q26</f>
        <v>0</v>
      </c>
      <c r="P6" s="111">
        <f>'AZ'!Q26+'GM資產組'!Q26+'GS事務組'!R26+'台北總務組'!R26+'蘭陽'!R26</f>
        <v>5.18</v>
      </c>
      <c r="Q6" s="111">
        <f>'AZ'!R26+'GM資產組'!R26+'GS事務組'!S26+'台北總務組'!S26+'蘭陽'!S26</f>
        <v>0</v>
      </c>
      <c r="R6" s="111">
        <f>'AZ'!S26+'GM資產組'!S26+'GS事務組'!T26+'台北總務組'!T26+'蘭陽'!T26</f>
        <v>118</v>
      </c>
      <c r="S6" s="111">
        <f>'AZ'!T26+'GM資產組'!T26+'GS事務組'!U26+'台北總務組'!U26+'蘭陽'!U26</f>
        <v>16</v>
      </c>
      <c r="T6" s="111">
        <f>'AZ'!U26+'GM資產組'!U26+'GS事務組'!V26+'台北總務組'!V26+'蘭陽'!V26</f>
        <v>3</v>
      </c>
      <c r="U6" s="111">
        <f>'AZ'!V26+'GM資產組'!V26+'GS事務組'!W26+'台北總務組'!W26+'蘭陽'!W26</f>
        <v>87.5</v>
      </c>
      <c r="V6" s="112" t="e">
        <f>'AZ'!W26+'GM資產組'!W25+'GS事務組'!X26+台北總務組!#REF!+'蘭陽'!X26</f>
        <v>#REF!</v>
      </c>
    </row>
    <row r="7" spans="1:22" ht="15">
      <c r="A7" s="109">
        <v>6</v>
      </c>
      <c r="B7" s="110" t="e">
        <f t="shared" si="0"/>
        <v>#REF!</v>
      </c>
      <c r="C7" s="111">
        <f>'AZ'!D27+'GM資產組'!D27+'GS事務組'!E27+'台北總務組'!E27+'蘭陽'!E27</f>
        <v>2335</v>
      </c>
      <c r="D7" s="111">
        <f>'AZ'!E27+'GM資產組'!G27+'GS事務組'!F27+'台北總務組'!F27+'蘭陽'!F27</f>
        <v>75</v>
      </c>
      <c r="E7" s="111">
        <f>'AZ'!F27+'GM資產組'!F27+'GS事務組'!G27+'台北總務組'!G27+'蘭陽'!G27</f>
        <v>111</v>
      </c>
      <c r="F7" s="111">
        <f>'AZ'!G27+'GM資產組'!G27+'GS事務組'!H27+'台北總務組'!H27+'蘭陽'!H27</f>
        <v>75</v>
      </c>
      <c r="G7" s="111">
        <f>'AZ'!H27+'GM資產組'!H27+'GS事務組'!I27+'台北總務組'!I27+'蘭陽'!I27</f>
        <v>0</v>
      </c>
      <c r="H7" s="111">
        <f>'AZ'!I27+'GM資產組'!I27+'GS事務組'!J27+'台北總務組'!J27+'蘭陽'!J27</f>
        <v>529</v>
      </c>
      <c r="I7" s="111">
        <f>'AZ'!J27+'GM資產組'!J27+'GS事務組'!K27+'台北總務組'!K27+'蘭陽'!K27</f>
        <v>153</v>
      </c>
      <c r="J7" s="111">
        <f>'AZ'!K27+'GM資產組'!K27+'GS事務組'!L27+'台北總務組'!L27+'蘭陽'!L27</f>
        <v>0</v>
      </c>
      <c r="K7" s="111">
        <f>'AZ'!L27+'GM資產組'!L27+'GS事務組'!M27+'台北總務組'!M27+'蘭陽'!M27</f>
        <v>0</v>
      </c>
      <c r="L7" s="111">
        <f>'AZ'!M27+'GM資產組'!M27+'GS事務組'!N27+'台北總務組'!N27+'蘭陽'!N27</f>
        <v>1656</v>
      </c>
      <c r="M7" s="111">
        <f>'AZ'!N27+'GM資產組'!N27+'GS事務組'!O27+'台北總務組'!O27+'蘭陽'!O27</f>
        <v>0</v>
      </c>
      <c r="N7" s="111">
        <f>'AZ'!O27+'GM資產組'!O27+'GS事務組'!P27+'台北總務組'!P27+'蘭陽'!P27</f>
        <v>251</v>
      </c>
      <c r="O7" s="111">
        <f>'AZ'!P27+'GM資產組'!P27+'GS事務組'!Q27+'台北總務組'!Q27+'蘭陽'!Q27</f>
        <v>0</v>
      </c>
      <c r="P7" s="111">
        <f>'AZ'!Q27+'GM資產組'!Q27+'GS事務組'!R27+'台北總務組'!R27+'蘭陽'!R27</f>
        <v>1.73</v>
      </c>
      <c r="Q7" s="111">
        <f>'AZ'!R27+'GM資產組'!R27+'GS事務組'!S27+'台北總務組'!S27+'蘭陽'!S27</f>
        <v>0</v>
      </c>
      <c r="R7" s="111">
        <f>'AZ'!S27+'GM資產組'!S27+'GS事務組'!T27+'台北總務組'!T27+'蘭陽'!T27</f>
        <v>4</v>
      </c>
      <c r="S7" s="111">
        <f>'AZ'!T27+'GM資產組'!T27+'GS事務組'!U27+'台北總務組'!U27+'蘭陽'!U27</f>
        <v>14</v>
      </c>
      <c r="T7" s="111">
        <f>'AZ'!U27+'GM資產組'!U27+'GS事務組'!V27+'台北總務組'!V27+'蘭陽'!V27</f>
        <v>0.15</v>
      </c>
      <c r="U7" s="111">
        <f>'AZ'!V27+'GM資產組'!V27+'GS事務組'!W27+'台北總務組'!W27+'蘭陽'!W27</f>
        <v>2</v>
      </c>
      <c r="V7" s="112" t="e">
        <f>'AZ'!W27+'GM資產組'!W26+'GS事務組'!X27+台北總務組!#REF!+'蘭陽'!X27</f>
        <v>#REF!</v>
      </c>
    </row>
    <row r="8" spans="1:22" ht="15">
      <c r="A8" s="109">
        <v>7</v>
      </c>
      <c r="B8" s="110" t="e">
        <f t="shared" si="0"/>
        <v>#REF!</v>
      </c>
      <c r="C8" s="111">
        <f>'AZ'!D28+'GM資產組'!D28+'GS事務組'!E28+'台北總務組'!E28+'蘭陽'!E28</f>
        <v>1934</v>
      </c>
      <c r="D8" s="111">
        <f>'AZ'!E28+'GM資產組'!G28+'GS事務組'!F28+'台北總務組'!F28+'蘭陽'!F28</f>
        <v>0</v>
      </c>
      <c r="E8" s="111">
        <f>'AZ'!F28+'GM資產組'!F28+'GS事務組'!G28+'台北總務組'!G28+'蘭陽'!G28</f>
        <v>53.5</v>
      </c>
      <c r="F8" s="111">
        <f>'AZ'!G28+'GM資產組'!G28+'GS事務組'!H28+'台北總務組'!H28+'蘭陽'!H28</f>
        <v>0</v>
      </c>
      <c r="G8" s="111">
        <f>'AZ'!H28+'GM資產組'!H28+'GS事務組'!I28+'台北總務組'!I28+'蘭陽'!I28</f>
        <v>0</v>
      </c>
      <c r="H8" s="111">
        <f>'AZ'!I28+'GM資產組'!I28+'GS事務組'!J28+'台北總務組'!J28+'蘭陽'!J28</f>
        <v>708</v>
      </c>
      <c r="I8" s="111">
        <f>'AZ'!J28+'GM資產組'!J28+'GS事務組'!K28+'台北總務組'!K28+'蘭陽'!K28</f>
        <v>34</v>
      </c>
      <c r="J8" s="111">
        <f>'AZ'!K28+'GM資產組'!K28+'GS事務組'!L28+'台北總務組'!L28+'蘭陽'!L28</f>
        <v>0</v>
      </c>
      <c r="K8" s="111">
        <f>'AZ'!L28+'GM資產組'!L28+'GS事務組'!M28+'台北總務組'!M28+'蘭陽'!M28</f>
        <v>0</v>
      </c>
      <c r="L8" s="111">
        <f>'AZ'!M28+'GM資產組'!M28+'GS事務組'!N28+'台北總務組'!N28+'蘭陽'!N28</f>
        <v>0</v>
      </c>
      <c r="M8" s="111">
        <f>'AZ'!N28+'GM資產組'!N28+'GS事務組'!O28+'台北總務組'!O28+'蘭陽'!O28</f>
        <v>0</v>
      </c>
      <c r="N8" s="111">
        <f>'AZ'!O28+'GM資產組'!O28+'GS事務組'!P28+'台北總務組'!P28+'蘭陽'!P28</f>
        <v>39</v>
      </c>
      <c r="O8" s="111">
        <f>'AZ'!P28+'GM資產組'!P28+'GS事務組'!Q28+'台北總務組'!Q28+'蘭陽'!Q28</f>
        <v>0</v>
      </c>
      <c r="P8" s="111">
        <f>'AZ'!Q28+'GM資產組'!Q28+'GS事務組'!R28+'台北總務組'!R28+'蘭陽'!R28</f>
        <v>8.25</v>
      </c>
      <c r="Q8" s="111">
        <f>'AZ'!R28+'GM資產組'!R28+'GS事務組'!S28+'台北總務組'!S28+'蘭陽'!S28</f>
        <v>0</v>
      </c>
      <c r="R8" s="111">
        <f>'AZ'!S28+'GM資產組'!S28+'GS事務組'!T28+'台北總務組'!T28+'蘭陽'!T28</f>
        <v>2</v>
      </c>
      <c r="S8" s="111">
        <f>'AZ'!T28+'GM資產組'!T28+'GS事務組'!U28+'台北總務組'!U28+'蘭陽'!U28</f>
        <v>21</v>
      </c>
      <c r="T8" s="111">
        <f>'AZ'!U28+'GM資產組'!U28+'GS事務組'!V28+'台北總務組'!V28+'蘭陽'!V28</f>
        <v>3</v>
      </c>
      <c r="U8" s="111">
        <f>'AZ'!V28+'GM資產組'!V28+'GS事務組'!W28+'台北總務組'!W28+'蘭陽'!W28</f>
        <v>48</v>
      </c>
      <c r="V8" s="112" t="e">
        <f>'AZ'!W28+'GM資產組'!W28+'GS事務組'!X28+台北總務組!#REF!+'蘭陽'!X28</f>
        <v>#REF!</v>
      </c>
    </row>
    <row r="9" spans="1:22" ht="15">
      <c r="A9" s="109">
        <v>8</v>
      </c>
      <c r="B9" s="110" t="e">
        <f>SUM(C9:V9)</f>
        <v>#REF!</v>
      </c>
      <c r="C9" s="111">
        <f>'AZ'!D29+'GM資產組'!D29+'GS事務組'!E29+'台北總務組'!E29+'蘭陽'!E29</f>
        <v>1076</v>
      </c>
      <c r="D9" s="111">
        <f>'AZ'!E29+'GM資產組'!G29+'GS事務組'!F29+'台北總務組'!F29+'蘭陽'!F29</f>
        <v>0</v>
      </c>
      <c r="E9" s="111">
        <f>'AZ'!F29+'GM資產組'!F29+'GS事務組'!G29+'台北總務組'!G29+'蘭陽'!G29</f>
        <v>135</v>
      </c>
      <c r="F9" s="111">
        <f>'AZ'!G29+'GM資產組'!G29+'GS事務組'!H29+'台北總務組'!H29+'蘭陽'!H29</f>
        <v>0</v>
      </c>
      <c r="G9" s="111">
        <f>'AZ'!H29+'GM資產組'!H29+'GS事務組'!I29+'台北總務組'!I29+'蘭陽'!I29</f>
        <v>0</v>
      </c>
      <c r="H9" s="111">
        <f>'AZ'!I29+'GM資產組'!I29+'GS事務組'!J29+'台北總務組'!J29+'蘭陽'!J29</f>
        <v>353</v>
      </c>
      <c r="I9" s="111">
        <f>'AZ'!J29+'GM資產組'!J29+'GS事務組'!K29+'台北總務組'!K29+'蘭陽'!K29</f>
        <v>33</v>
      </c>
      <c r="J9" s="111">
        <f>'AZ'!K29+'GM資產組'!K29+'GS事務組'!L29+'台北總務組'!L29+'蘭陽'!L29</f>
        <v>0</v>
      </c>
      <c r="K9" s="111">
        <f>'AZ'!L29+'GM資產組'!L29+'GS事務組'!M29+'台北總務組'!M29+'蘭陽'!M29</f>
        <v>0</v>
      </c>
      <c r="L9" s="111">
        <f>'AZ'!M29+'GM資產組'!M29+'GS事務組'!N29+'台北總務組'!N29+'蘭陽'!N29</f>
        <v>0</v>
      </c>
      <c r="M9" s="111">
        <f>'AZ'!N29+'GM資產組'!N29+'GS事務組'!O29+'台北總務組'!O29+'蘭陽'!O29</f>
        <v>0</v>
      </c>
      <c r="N9" s="111">
        <f>'AZ'!O29+'GM資產組'!O29+'GS事務組'!P29+'台北總務組'!P29+'蘭陽'!P29</f>
        <v>49</v>
      </c>
      <c r="O9" s="111">
        <f>'AZ'!P29+'GM資產組'!P29+'GS事務組'!Q29+'台北總務組'!Q29+'蘭陽'!Q29</f>
        <v>0</v>
      </c>
      <c r="P9" s="111">
        <f>'AZ'!Q29+'GM資產組'!Q29+'GS事務組'!R29+'台北總務組'!R29+'蘭陽'!R29</f>
        <v>2.25</v>
      </c>
      <c r="Q9" s="111">
        <f>'AZ'!R29+'GM資產組'!R29+'GS事務組'!S29+'台北總務組'!S29+'蘭陽'!S29</f>
        <v>0</v>
      </c>
      <c r="R9" s="111">
        <f>'AZ'!S29+'GM資產組'!S29+'GS事務組'!T29+'台北總務組'!T29+'蘭陽'!T29</f>
        <v>4</v>
      </c>
      <c r="S9" s="111">
        <f>'AZ'!T29+'GM資產組'!T29+'GS事務組'!U29+'台北總務組'!U29+'蘭陽'!U29</f>
        <v>15</v>
      </c>
      <c r="T9" s="111">
        <f>'AZ'!U29+'GM資產組'!U29+'GS事務組'!V29+'台北總務組'!V29+'蘭陽'!V29</f>
        <v>1</v>
      </c>
      <c r="U9" s="111">
        <f>'AZ'!V29+'GM資產組'!V29+'GS事務組'!W29+'台北總務組'!W29+'蘭陽'!W29</f>
        <v>79.5</v>
      </c>
      <c r="V9" s="112" t="e">
        <f>'AZ'!W29+'GM資產組'!W29+'GS事務組'!X29+台北總務組!#REF!+'蘭陽'!X29</f>
        <v>#REF!</v>
      </c>
    </row>
    <row r="10" spans="1:22" ht="15">
      <c r="A10" s="109">
        <v>9</v>
      </c>
      <c r="B10" s="110" t="e">
        <f t="shared" si="0"/>
        <v>#REF!</v>
      </c>
      <c r="C10" s="111">
        <f>'AZ'!D30+'GM資產組'!D30+'GS事務組'!E37+'台北總務組'!E30+'蘭陽'!E30</f>
        <v>1739</v>
      </c>
      <c r="D10" s="111">
        <f>'AZ'!E30+'GM資產組'!E30+'GS事務組'!F37+'台北總務組'!F30+'蘭陽'!F30</f>
        <v>0</v>
      </c>
      <c r="E10" s="111">
        <f>'AZ'!F30+'GM資產組'!F30+'GS事務組'!G37+'台北總務組'!G30+'蘭陽'!G30</f>
        <v>217</v>
      </c>
      <c r="F10" s="111">
        <f>'AZ'!G30+'GM資產組'!G30+'GS事務組'!H37+'台北總務組'!H30+'蘭陽'!H30</f>
        <v>0</v>
      </c>
      <c r="G10" s="111">
        <f>'AZ'!H30+'GM資產組'!H30+'GS事務組'!I37+'台北總務組'!I30+'蘭陽'!I30</f>
        <v>0</v>
      </c>
      <c r="H10" s="111">
        <f>'AZ'!I30+'GM資產組'!I30+'GS事務組'!J37+'台北總務組'!J30+'蘭陽'!J30</f>
        <v>405</v>
      </c>
      <c r="I10" s="111">
        <f>'AZ'!J30+'GM資產組'!J30+'GS事務組'!K37+'台北總務組'!K30+'蘭陽'!K30</f>
        <v>62</v>
      </c>
      <c r="J10" s="111">
        <f>'AZ'!K30+'GM資產組'!K30+'GS事務組'!L37+'台北總務組'!L30+'蘭陽'!L30</f>
        <v>0</v>
      </c>
      <c r="K10" s="111">
        <f>'AZ'!L30+'GM資產組'!L30+'GS事務組'!M37+'台北總務組'!M30+'蘭陽'!M30</f>
        <v>0</v>
      </c>
      <c r="L10" s="111">
        <f>'AZ'!M30+'GM資產組'!M30+'GS事務組'!N37+'台北總務組'!N30+'蘭陽'!N30</f>
        <v>15.5</v>
      </c>
      <c r="M10" s="111">
        <f>'AZ'!N30+'GM資產組'!N30+'GS事務組'!O37+'台北總務組'!O30+'蘭陽'!O30</f>
        <v>0</v>
      </c>
      <c r="N10" s="111">
        <f>'AZ'!O30+'GM資產組'!O30+'GS事務組'!P30+'台北總務組'!P30+'蘭陽'!P30</f>
        <v>88</v>
      </c>
      <c r="O10" s="111">
        <f>'AZ'!P30+'GM資產組'!P30+'GS事務組'!Q37+'台北總務組'!Q30+'蘭陽'!Q30</f>
        <v>0</v>
      </c>
      <c r="P10" s="111">
        <f>'AZ'!Q30+'GM資產組'!Q30+'GS事務組'!R37+'台北總務組'!R30+'蘭陽'!R30</f>
        <v>1.04</v>
      </c>
      <c r="Q10" s="111">
        <f>'AZ'!R30+'GM資產組'!R30+'GS事務組'!S37+'台北總務組'!S30+'蘭陽'!S30</f>
        <v>0</v>
      </c>
      <c r="R10" s="111">
        <f>'AZ'!S30+'GM資產組'!S30+'GS事務組'!T37+'台北總務組'!T30+'蘭陽'!T30</f>
        <v>3</v>
      </c>
      <c r="S10" s="111">
        <f>'AZ'!T30+'GM資產組'!T30+'GS事務組'!U37+'台北總務組'!U30+'蘭陽'!U30</f>
        <v>14</v>
      </c>
      <c r="T10" s="111">
        <f>'AZ'!U30+'GM資產組'!U30+'GS事務組'!V37+'台北總務組'!V30+'蘭陽'!V30</f>
        <v>1</v>
      </c>
      <c r="U10" s="111">
        <f>'AZ'!V30+'GM資產組'!V30+'GS事務組'!W37+'台北總務組'!W30+'蘭陽'!W30</f>
        <v>96.25</v>
      </c>
      <c r="V10" s="112" t="e">
        <f>'AZ'!W30+'GM資產組'!W29+'GS事務組'!X37+台北總務組!#REF!+'蘭陽'!X30</f>
        <v>#REF!</v>
      </c>
    </row>
    <row r="11" spans="1:22" ht="15">
      <c r="A11" s="109">
        <v>10</v>
      </c>
      <c r="B11" s="110" t="e">
        <f>SUM(C11:V11)</f>
        <v>#REF!</v>
      </c>
      <c r="C11" s="111">
        <f>'AZ'!D31+'GM資產組'!D31+'GS事務組'!E38+'台北總務組'!E31+'蘭陽'!E31</f>
        <v>1844</v>
      </c>
      <c r="D11" s="111">
        <f>'AZ'!E31+'GM資產組'!E31+'GS事務組'!F38+'台北總務組'!F31+'蘭陽'!F31</f>
        <v>0</v>
      </c>
      <c r="E11" s="111">
        <f>'AZ'!F31+'GM資產組'!F31+'GS事務組'!G38+'台北總務組'!G31+'蘭陽'!G31</f>
        <v>191</v>
      </c>
      <c r="F11" s="111">
        <f>'AZ'!G31+'GM資產組'!G31+'GS事務組'!H38+'台北總務組'!H31+'蘭陽'!H31</f>
        <v>350</v>
      </c>
      <c r="G11" s="111">
        <f>'AZ'!H31+'GM資產組'!H31+'GS事務組'!I38+'台北總務組'!I31+'蘭陽'!I31</f>
        <v>0</v>
      </c>
      <c r="H11" s="111">
        <f>'AZ'!I31+'GM資產組'!I31+'GS事務組'!J38+'台北總務組'!J31+'蘭陽'!J31</f>
        <v>445</v>
      </c>
      <c r="I11" s="111">
        <f>'AZ'!J31+'GM資產組'!J31+'GS事務組'!K38+'台北總務組'!K31+'蘭陽'!K31</f>
        <v>72</v>
      </c>
      <c r="J11" s="111">
        <f>'AZ'!K31+'GM資產組'!K31+'GS事務組'!L38+'台北總務組'!L31+'蘭陽'!L31</f>
        <v>0</v>
      </c>
      <c r="K11" s="111">
        <f>'AZ'!L31+'GM資產組'!L31+'GS事務組'!M38+'台北總務組'!M31+'蘭陽'!M31</f>
        <v>50</v>
      </c>
      <c r="L11" s="111">
        <f>'AZ'!M31+'GM資產組'!M31+'GS事務組'!N38+'台北總務組'!N31+'蘭陽'!N31</f>
        <v>1648</v>
      </c>
      <c r="M11" s="111">
        <f>'AZ'!N31+'GM資產組'!N31+'GS事務組'!O38+'台北總務組'!O31+'蘭陽'!O31</f>
        <v>0</v>
      </c>
      <c r="N11" s="111">
        <f>'AZ'!O31+'GM資產組'!O31+'GS事務組'!P31+'台北總務組'!P31+'蘭陽'!P31</f>
        <v>149</v>
      </c>
      <c r="O11" s="111">
        <f>'AZ'!P31+'GM資產組'!P31+'GS事務組'!Q38+'台北總務組'!Q31+'蘭陽'!Q31</f>
        <v>0</v>
      </c>
      <c r="P11" s="111">
        <f>'AZ'!Q31+'GM資產組'!Q31+'GS事務組'!R38+'台北總務組'!R31+'蘭陽'!R31</f>
        <v>5.385</v>
      </c>
      <c r="Q11" s="111">
        <f>'AZ'!R31+'GM資產組'!R31+'GS事務組'!S38+'台北總務組'!S31+'蘭陽'!S31</f>
        <v>0</v>
      </c>
      <c r="R11" s="111">
        <f>'AZ'!S31+'GM資產組'!S31+'GS事務組'!T38+'台北總務組'!T31+'蘭陽'!T31</f>
        <v>107</v>
      </c>
      <c r="S11" s="111">
        <f>'AZ'!T31+'GM資產組'!T31+'GS事務組'!U38+'台北總務組'!U31+'蘭陽'!U31</f>
        <v>15</v>
      </c>
      <c r="T11" s="111">
        <f>'AZ'!U31+'GM資產組'!U31+'GS事務組'!V38+'台北總務組'!V31+'蘭陽'!V31</f>
        <v>7.015</v>
      </c>
      <c r="U11" s="111">
        <f>'AZ'!V31+'GM資產組'!V31+'GS事務組'!W38+'台北總務組'!W31+'蘭陽'!W31</f>
        <v>39.5</v>
      </c>
      <c r="V11" s="112" t="e">
        <f>'AZ'!W31+'GM資產組'!W30+'GS事務組'!X38+台北總務組!#REF!+'蘭陽'!X31</f>
        <v>#REF!</v>
      </c>
    </row>
    <row r="12" spans="1:22" ht="15">
      <c r="A12" s="109">
        <v>11</v>
      </c>
      <c r="B12" s="110" t="e">
        <f t="shared" si="0"/>
        <v>#REF!</v>
      </c>
      <c r="C12" s="111">
        <f>'AZ'!D32+'GM資產組'!D32+'GS事務組'!E39+'台北總務組'!E32+'蘭陽'!E32</f>
        <v>1605</v>
      </c>
      <c r="D12" s="111">
        <f>'AZ'!E32+'GM資產組'!E32+'GS事務組'!F39+'台北總務組'!F32+'蘭陽'!F32</f>
        <v>0</v>
      </c>
      <c r="E12" s="111">
        <f>'AZ'!F32+'GM資產組'!F32+'GS事務組'!G39+'台北總務組'!G32+'蘭陽'!G32</f>
        <v>162</v>
      </c>
      <c r="F12" s="111">
        <f>'AZ'!G32+'GM資產組'!G32+'GS事務組'!H39+'台北總務組'!H32+'蘭陽'!H32</f>
        <v>0</v>
      </c>
      <c r="G12" s="111">
        <f>'AZ'!H32+'GM資產組'!H32+'GS事務組'!I39+'台北總務組'!I32+'蘭陽'!I32</f>
        <v>0</v>
      </c>
      <c r="H12" s="111">
        <f>'AZ'!I32+'GM資產組'!I32+'GS事務組'!J39+'台北總務組'!J32+'蘭陽'!J32</f>
        <v>432</v>
      </c>
      <c r="I12" s="111">
        <f>'AZ'!J32+'GM資產組'!J32+'GS事務組'!K39+'台北總務組'!K32+'蘭陽'!K32</f>
        <v>48</v>
      </c>
      <c r="J12" s="111">
        <f>'AZ'!K32+'GM資產組'!K32+'GS事務組'!L39+'台北總務組'!L32+'蘭陽'!L32</f>
        <v>0</v>
      </c>
      <c r="K12" s="111">
        <f>'AZ'!L32+'GM資產組'!L32+'GS事務組'!M39+'台北總務組'!M32+'蘭陽'!M32</f>
        <v>0</v>
      </c>
      <c r="L12" s="111">
        <f>'AZ'!M32+'GM資產組'!M32+'GS事務組'!N39+'台北總務組'!N32+'蘭陽'!N32</f>
        <v>0</v>
      </c>
      <c r="M12" s="111">
        <f>'AZ'!N32+'GM資產組'!N32+'GS事務組'!O39+'台北總務組'!O32+'蘭陽'!O32</f>
        <v>0</v>
      </c>
      <c r="N12" s="111">
        <f>'AZ'!O32+'GM資產組'!O32+'GS事務組'!P32+'台北總務組'!P32+'蘭陽'!P32</f>
        <v>142</v>
      </c>
      <c r="O12" s="111">
        <f>'AZ'!P32+'GM資產組'!P32+'GS事務組'!Q39+'台北總務組'!Q32+'蘭陽'!Q32</f>
        <v>0</v>
      </c>
      <c r="P12" s="111">
        <f>'AZ'!Q32+'GM資產組'!Q32+'GS事務組'!R39+'台北總務組'!R32+'蘭陽'!R32</f>
        <v>2.2</v>
      </c>
      <c r="Q12" s="111">
        <f>'AZ'!R32+'GM資產組'!R32+'GS事務組'!S39+'台北總務組'!S32+'蘭陽'!S32</f>
        <v>0</v>
      </c>
      <c r="R12" s="111">
        <f>'AZ'!S32+'GM資產組'!S32+'GS事務組'!T39+'台北總務組'!T32+'蘭陽'!T32</f>
        <v>4</v>
      </c>
      <c r="S12" s="111">
        <f>'AZ'!T32+'GM資產組'!T32+'GS事務組'!U39+'台北總務組'!U32+'蘭陽'!U32</f>
        <v>13</v>
      </c>
      <c r="T12" s="111">
        <f>'AZ'!U32+'GM資產組'!U32+'GS事務組'!V39+'台北總務組'!V32+'蘭陽'!V32</f>
        <v>3.5</v>
      </c>
      <c r="U12" s="111">
        <f>'AZ'!V32+'GM資產組'!V32+'GS事務組'!W39+'台北總務組'!W32+'蘭陽'!W32</f>
        <v>78.5</v>
      </c>
      <c r="V12" s="112" t="e">
        <f>'AZ'!W32+'GM資產組'!W31+'GS事務組'!X39+台北總務組!#REF!+'蘭陽'!X32</f>
        <v>#REF!</v>
      </c>
    </row>
    <row r="13" spans="1:22" ht="15.75" thickBot="1">
      <c r="A13" s="113">
        <v>12</v>
      </c>
      <c r="B13" s="110" t="e">
        <f t="shared" si="0"/>
        <v>#REF!</v>
      </c>
      <c r="C13" s="111">
        <f>'AZ'!D33+'GM資產組'!D33+'GS事務組'!E40+'台北總務組'!E33+'蘭陽'!E33</f>
        <v>1334</v>
      </c>
      <c r="D13" s="111">
        <f>'AZ'!E33+'GM資產組'!E33+'GS事務組'!F40+'台北總務組'!F33+'蘭陽'!F33</f>
        <v>0</v>
      </c>
      <c r="E13" s="111">
        <f>'AZ'!F33+'GM資產組'!F33+'GS事務組'!G40+'台北總務組'!G33+'蘭陽'!G33</f>
        <v>160</v>
      </c>
      <c r="F13" s="111">
        <f>'AZ'!G33+'GM資產組'!G33+'GS事務組'!H40+'台北總務組'!H33+'蘭陽'!H33</f>
        <v>0</v>
      </c>
      <c r="G13" s="111">
        <f>'AZ'!H33+'GM資產組'!H33+'GS事務組'!I40+'台北總務組'!I33+'蘭陽'!I33</f>
        <v>0</v>
      </c>
      <c r="H13" s="111">
        <f>'AZ'!I33+'GM資產組'!I33+'GS事務組'!J40+'台北總務組'!J33+'蘭陽'!J33</f>
        <v>358</v>
      </c>
      <c r="I13" s="111">
        <f>'AZ'!J33+'GM資產組'!J33+'GS事務組'!K40+'台北總務組'!K33+'蘭陽'!K33</f>
        <v>57</v>
      </c>
      <c r="J13" s="111">
        <f>'AZ'!K33+'GM資產組'!K33+'GS事務組'!L40+'台北總務組'!L33+'蘭陽'!L33</f>
        <v>0</v>
      </c>
      <c r="K13" s="111">
        <f>'AZ'!L33+'GM資產組'!L33+'GS事務組'!M40+'台北總務組'!M33+'蘭陽'!M33</f>
        <v>150</v>
      </c>
      <c r="L13" s="111">
        <f>'AZ'!M33+'GM資產組'!M33+'GS事務組'!N40+'台北總務組'!N33+'蘭陽'!N33</f>
        <v>1626</v>
      </c>
      <c r="M13" s="111">
        <f>'AZ'!N33+'GM資產組'!N33+'GS事務組'!O40+'台北總務組'!O33+'蘭陽'!O33</f>
        <v>0</v>
      </c>
      <c r="N13" s="111">
        <f>'AZ'!O33+'GM資產組'!O33+'GS事務組'!P33+'台北總務組'!P33+'蘭陽'!P33</f>
        <v>185</v>
      </c>
      <c r="O13" s="111">
        <f>'AZ'!P33+'GM資產組'!P33+'GS事務組'!Q40+'台北總務組'!Q33+'蘭陽'!Q33</f>
        <v>0</v>
      </c>
      <c r="P13" s="111">
        <f>'AZ'!Q33+'GM資產組'!Q33+'GS事務組'!R40+'台北總務組'!R33+'蘭陽'!R33</f>
        <v>1.58</v>
      </c>
      <c r="Q13" s="111">
        <f>'AZ'!R33+'GM資產組'!R33+'GS事務組'!S40+'台北總務組'!S33+'蘭陽'!S33</f>
        <v>0</v>
      </c>
      <c r="R13" s="111">
        <f>'AZ'!S33+'GM資產組'!S33+'GS事務組'!T40+'台北總務組'!T33+'蘭陽'!T33</f>
        <v>2</v>
      </c>
      <c r="S13" s="111">
        <f>'AZ'!T33+'GM資產組'!T33+'GS事務組'!U40+'台北總務組'!U33+'蘭陽'!U33</f>
        <v>14</v>
      </c>
      <c r="T13" s="111">
        <f>'AZ'!U33+'GM資產組'!U33+'GS事務組'!V40+'台北總務組'!V33+'蘭陽'!V33</f>
        <v>1.28</v>
      </c>
      <c r="U13" s="111">
        <f>'AZ'!V33+'GM資產組'!V33+'GS事務組'!W40+'台北總務組'!W33+'蘭陽'!W33</f>
        <v>51</v>
      </c>
      <c r="V13" s="112" t="e">
        <f>'AZ'!W33+'GM資產組'!W32+'GS事務組'!X40+台北總務組!#REF!+'蘭陽'!X33</f>
        <v>#REF!</v>
      </c>
    </row>
    <row r="14" spans="1:22" ht="15.75" thickTop="1">
      <c r="A14" s="114" t="s">
        <v>27</v>
      </c>
      <c r="B14" s="115" t="e">
        <f>SUM(B2:B13)</f>
        <v>#REF!</v>
      </c>
      <c r="C14" s="115">
        <f aca="true" t="shared" si="1" ref="C14:V14">SUM(C2:C13)</f>
        <v>23864</v>
      </c>
      <c r="D14" s="129">
        <f t="shared" si="1"/>
        <v>1017</v>
      </c>
      <c r="E14" s="115">
        <f t="shared" si="1"/>
        <v>1894.5</v>
      </c>
      <c r="F14" s="115">
        <f t="shared" si="1"/>
        <v>1367</v>
      </c>
      <c r="G14" s="115">
        <f t="shared" si="1"/>
        <v>0</v>
      </c>
      <c r="H14" s="115">
        <f t="shared" si="1"/>
        <v>5611</v>
      </c>
      <c r="I14" s="115">
        <f t="shared" si="1"/>
        <v>805</v>
      </c>
      <c r="J14" s="115">
        <f t="shared" si="1"/>
        <v>0</v>
      </c>
      <c r="K14" s="115">
        <f t="shared" si="1"/>
        <v>700</v>
      </c>
      <c r="L14" s="115">
        <f t="shared" si="1"/>
        <v>8509.5</v>
      </c>
      <c r="M14" s="115">
        <f t="shared" si="1"/>
        <v>0</v>
      </c>
      <c r="N14" s="115">
        <f>SUM(N2:N13)</f>
        <v>2720</v>
      </c>
      <c r="O14" s="115">
        <f t="shared" si="1"/>
        <v>0</v>
      </c>
      <c r="P14" s="115">
        <f t="shared" si="1"/>
        <v>211.475</v>
      </c>
      <c r="Q14" s="115">
        <f t="shared" si="1"/>
        <v>14</v>
      </c>
      <c r="R14" s="129">
        <f>SUM(R2:R13)</f>
        <v>367</v>
      </c>
      <c r="S14" s="115">
        <f t="shared" si="1"/>
        <v>145</v>
      </c>
      <c r="T14" s="115">
        <f t="shared" si="1"/>
        <v>21.345000000000002</v>
      </c>
      <c r="U14" s="115">
        <f t="shared" si="1"/>
        <v>613.75</v>
      </c>
      <c r="V14" s="116" t="e">
        <f t="shared" si="1"/>
        <v>#REF!</v>
      </c>
    </row>
    <row r="15" spans="1:22" ht="30.75" thickBot="1">
      <c r="A15" s="117" t="s">
        <v>48</v>
      </c>
      <c r="B15" s="118" t="e">
        <f>B14/12</f>
        <v>#REF!</v>
      </c>
      <c r="C15" s="118">
        <f aca="true" t="shared" si="2" ref="C15:V15">C14/12</f>
        <v>1988.6666666666667</v>
      </c>
      <c r="D15" s="118">
        <f t="shared" si="2"/>
        <v>84.75</v>
      </c>
      <c r="E15" s="118">
        <f t="shared" si="2"/>
        <v>157.875</v>
      </c>
      <c r="F15" s="118">
        <f t="shared" si="2"/>
        <v>113.91666666666667</v>
      </c>
      <c r="G15" s="118">
        <f t="shared" si="2"/>
        <v>0</v>
      </c>
      <c r="H15" s="118">
        <f t="shared" si="2"/>
        <v>467.5833333333333</v>
      </c>
      <c r="I15" s="118">
        <f t="shared" si="2"/>
        <v>67.08333333333333</v>
      </c>
      <c r="J15" s="118">
        <f t="shared" si="2"/>
        <v>0</v>
      </c>
      <c r="K15" s="118">
        <f t="shared" si="2"/>
        <v>58.333333333333336</v>
      </c>
      <c r="L15" s="118">
        <f t="shared" si="2"/>
        <v>709.125</v>
      </c>
      <c r="M15" s="118">
        <f t="shared" si="2"/>
        <v>0</v>
      </c>
      <c r="N15" s="118">
        <f t="shared" si="2"/>
        <v>226.66666666666666</v>
      </c>
      <c r="O15" s="118">
        <f t="shared" si="2"/>
        <v>0</v>
      </c>
      <c r="P15" s="118">
        <f t="shared" si="2"/>
        <v>17.622916666666665</v>
      </c>
      <c r="Q15" s="118">
        <f t="shared" si="2"/>
        <v>1.1666666666666667</v>
      </c>
      <c r="R15" s="118">
        <f t="shared" si="2"/>
        <v>30.583333333333332</v>
      </c>
      <c r="S15" s="118">
        <f t="shared" si="2"/>
        <v>12.083333333333334</v>
      </c>
      <c r="T15" s="118">
        <f t="shared" si="2"/>
        <v>1.7787500000000003</v>
      </c>
      <c r="U15" s="118">
        <f t="shared" si="2"/>
        <v>51.145833333333336</v>
      </c>
      <c r="V15" s="119" t="e">
        <f t="shared" si="2"/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V15"/>
  <sheetViews>
    <sheetView zoomScalePageLayoutView="0" workbookViewId="0" topLeftCell="A1">
      <selection activeCell="B7" sqref="B7"/>
    </sheetView>
  </sheetViews>
  <sheetFormatPr defaultColWidth="9.00390625" defaultRowHeight="16.5"/>
  <cols>
    <col min="1" max="1" width="4.75390625" style="139" customWidth="1"/>
    <col min="2" max="2" width="8.125" style="139" customWidth="1"/>
    <col min="3" max="3" width="7.00390625" style="139" customWidth="1"/>
    <col min="4" max="4" width="5.75390625" style="139" customWidth="1"/>
    <col min="5" max="5" width="7.375" style="139" customWidth="1"/>
    <col min="6" max="6" width="7.75390625" style="139" customWidth="1"/>
    <col min="7" max="7" width="5.75390625" style="139" customWidth="1"/>
    <col min="8" max="8" width="7.00390625" style="139" customWidth="1"/>
    <col min="9" max="9" width="6.625" style="139" customWidth="1"/>
    <col min="10" max="10" width="5.50390625" style="139" customWidth="1"/>
    <col min="11" max="11" width="6.00390625" style="139" customWidth="1"/>
    <col min="12" max="12" width="7.375" style="139" customWidth="1"/>
    <col min="13" max="13" width="4.00390625" style="139" customWidth="1"/>
    <col min="14" max="14" width="6.375" style="139" customWidth="1"/>
    <col min="15" max="15" width="4.375" style="139" customWidth="1"/>
    <col min="16" max="17" width="5.25390625" style="139" customWidth="1"/>
    <col min="18" max="18" width="6.125" style="139" customWidth="1"/>
    <col min="19" max="19" width="5.25390625" style="139" customWidth="1"/>
    <col min="20" max="20" width="3.875" style="139" customWidth="1"/>
    <col min="21" max="21" width="4.625" style="139" customWidth="1"/>
    <col min="22" max="16384" width="9.00390625" style="139" customWidth="1"/>
  </cols>
  <sheetData>
    <row r="1" spans="1:22" ht="60">
      <c r="A1" s="136" t="s">
        <v>95</v>
      </c>
      <c r="B1" s="137" t="s">
        <v>72</v>
      </c>
      <c r="C1" s="137" t="s">
        <v>73</v>
      </c>
      <c r="D1" s="137" t="s">
        <v>74</v>
      </c>
      <c r="E1" s="137" t="s">
        <v>75</v>
      </c>
      <c r="F1" s="137" t="s">
        <v>76</v>
      </c>
      <c r="G1" s="137" t="s">
        <v>77</v>
      </c>
      <c r="H1" s="137" t="s">
        <v>78</v>
      </c>
      <c r="I1" s="137" t="s">
        <v>79</v>
      </c>
      <c r="J1" s="137" t="s">
        <v>80</v>
      </c>
      <c r="K1" s="137" t="s">
        <v>81</v>
      </c>
      <c r="L1" s="137" t="s">
        <v>82</v>
      </c>
      <c r="M1" s="137" t="s">
        <v>83</v>
      </c>
      <c r="N1" s="137" t="s">
        <v>84</v>
      </c>
      <c r="O1" s="137" t="s">
        <v>85</v>
      </c>
      <c r="P1" s="137" t="s">
        <v>86</v>
      </c>
      <c r="Q1" s="137" t="s">
        <v>87</v>
      </c>
      <c r="R1" s="137" t="s">
        <v>88</v>
      </c>
      <c r="S1" s="137" t="s">
        <v>89</v>
      </c>
      <c r="T1" s="137" t="s">
        <v>90</v>
      </c>
      <c r="U1" s="137" t="s">
        <v>91</v>
      </c>
      <c r="V1" s="138" t="s">
        <v>92</v>
      </c>
    </row>
    <row r="2" spans="1:22" ht="15">
      <c r="A2" s="109">
        <v>1</v>
      </c>
      <c r="B2" s="110" t="e">
        <f aca="true" t="shared" si="0" ref="B2:B13">SUM(C2:V2)</f>
        <v>#REF!</v>
      </c>
      <c r="C2" s="111">
        <f>'AZ'!D34+'GM資產組'!D34+'GS事務組'!E34+'台北總務組'!E34+'蘭陽'!E34</f>
        <v>1843</v>
      </c>
      <c r="D2" s="111">
        <f>'AZ'!E34+'GM資產組'!E34+'GS事務組'!F34+'台北總務組'!F34+'蘭陽'!F34</f>
        <v>0</v>
      </c>
      <c r="E2" s="111">
        <f>'AZ'!F34+'GM資產組'!F34+'GS事務組'!G34+'台北總務組'!G34+'蘭陽'!G34</f>
        <v>135</v>
      </c>
      <c r="F2" s="111">
        <f>'AZ'!G34+'GM資產組'!G34+'GS事務組'!H34+'台北總務組'!H34+'蘭陽'!H34</f>
        <v>0</v>
      </c>
      <c r="G2" s="111">
        <f>'AZ'!H34+'GM資產組'!H34+'GS事務組'!I34+'台北總務組'!I34+'蘭陽'!I34</f>
        <v>0</v>
      </c>
      <c r="H2" s="111">
        <f>'AZ'!I34+'GM資產組'!I34+'GS事務組'!J34+'台北總務組'!J34+'蘭陽'!J34</f>
        <v>332</v>
      </c>
      <c r="I2" s="111">
        <f>'AZ'!J34+'GM資產組'!J34+'GS事務組'!K34+'台北總務組'!K34+'蘭陽'!K34</f>
        <v>425</v>
      </c>
      <c r="J2" s="111">
        <f>'AZ'!K34+'GM資產組'!K34+'GS事務組'!L34+'台北總務組'!L34+'蘭陽'!L34</f>
        <v>0</v>
      </c>
      <c r="K2" s="111">
        <f>'AZ'!L34+'GM資產組'!L34+'GS事務組'!M34+'台北總務組'!M34+'蘭陽'!M34</f>
        <v>0</v>
      </c>
      <c r="L2" s="111">
        <f>'AZ'!M34+'GM資產組'!M34+'GS事務組'!N34+'台北總務組'!N34+'蘭陽'!N34</f>
        <v>0</v>
      </c>
      <c r="M2" s="111">
        <f>'AZ'!N34+'GM資產組'!N34+'GS事務組'!O34+'台北總務組'!O34+'蘭陽'!O34</f>
        <v>0</v>
      </c>
      <c r="N2" s="111">
        <f>'AZ'!O34+'GM資產組'!O34+'GS事務組'!P34+'台北總務組'!P34+'蘭陽'!P34</f>
        <v>40</v>
      </c>
      <c r="O2" s="111">
        <f>'AZ'!P34+'GM資產組'!P34+'GS事務組'!Q34+'台北總務組'!Q34+'蘭陽'!Q34</f>
        <v>0</v>
      </c>
      <c r="P2" s="111">
        <f>'AZ'!Q34+'GM資產組'!Q34+'GS事務組'!R34+'台北總務組'!R34+'蘭陽'!R34</f>
        <v>4.28</v>
      </c>
      <c r="Q2" s="111">
        <f>'AZ'!R34+'GM資產組'!R34+'GS事務組'!S34+'台北總務組'!S34+'蘭陽'!S34</f>
        <v>0</v>
      </c>
      <c r="R2" s="111">
        <f>'AZ'!S34+'GM資產組'!S34+'GS事務組'!T34+'台北總務組'!T34+'蘭陽'!T34</f>
        <v>41</v>
      </c>
      <c r="S2" s="111">
        <f>'AZ'!T34+'GM資產組'!T34+'GS事務組'!U34+'台北總務組'!U34+'蘭陽'!U34</f>
        <v>5</v>
      </c>
      <c r="T2" s="111">
        <f>'AZ'!U34+'GM資產組'!U34+'GS事務組'!V34+'台北總務組'!V34+'蘭陽'!V34</f>
        <v>6</v>
      </c>
      <c r="U2" s="111">
        <f>'AZ'!V34+'GM資產組'!V34+'GS事務組'!W34+'台北總務組'!W34+'蘭陽'!W34</f>
        <v>47.25</v>
      </c>
      <c r="V2" s="112" t="e">
        <f>'AZ'!W34+'GM資產組'!W34+'GS事務組'!X34+台北總務組!#REF!+'蘭陽'!X34</f>
        <v>#REF!</v>
      </c>
    </row>
    <row r="3" spans="1:22" ht="15">
      <c r="A3" s="109">
        <v>2</v>
      </c>
      <c r="B3" s="110" t="e">
        <f t="shared" si="0"/>
        <v>#REF!</v>
      </c>
      <c r="C3" s="111">
        <f>'AZ'!D35+'GM資產組'!D35+'GS事務組'!E35+'台北總務組'!E35+'蘭陽'!E35</f>
        <v>1350</v>
      </c>
      <c r="D3" s="111">
        <f>'AZ'!E35+'GM資產組'!E35+'GS事務組'!F35+'台北總務組'!F35+'蘭陽'!F35</f>
        <v>0</v>
      </c>
      <c r="E3" s="111">
        <f>'AZ'!F35+'GM資產組'!F35+'GS事務組'!G35+'台北總務組'!G35+'蘭陽'!G35</f>
        <v>114</v>
      </c>
      <c r="F3" s="111">
        <f>'AZ'!G35+'GM資產組'!G35+'GS事務組'!H35+'台北總務組'!H35+'蘭陽'!H35</f>
        <v>0</v>
      </c>
      <c r="G3" s="111">
        <f>'AZ'!H35+'GM資產組'!H35+'GS事務組'!I35+'台北總務組'!I35+'蘭陽'!I35</f>
        <v>0</v>
      </c>
      <c r="H3" s="111">
        <f>'AZ'!I35+'GM資產組'!I35+'GS事務組'!J35+'台北總務組'!J35+'蘭陽'!J35</f>
        <v>159</v>
      </c>
      <c r="I3" s="111">
        <f>'AZ'!J35+'GM資產組'!J35+'GS事務組'!K35+'台北總務組'!K35+'蘭陽'!K35</f>
        <v>67</v>
      </c>
      <c r="J3" s="111">
        <f>'AZ'!K35+'GM資產組'!K35+'GS事務組'!L35+'台北總務組'!L35+'蘭陽'!L35</f>
        <v>0</v>
      </c>
      <c r="K3" s="111">
        <f>'AZ'!L35+'GM資產組'!L35+'GS事務組'!M35+'台北總務組'!M35+'蘭陽'!M35</f>
        <v>0</v>
      </c>
      <c r="L3" s="111">
        <f>'AZ'!M35+'GM資產組'!M35+'GS事務組'!N35+'台北總務組'!N35+'蘭陽'!N35</f>
        <v>0</v>
      </c>
      <c r="M3" s="111">
        <f>'AZ'!N35+'GM資產組'!N35+'GS事務組'!O35+'台北總務組'!O35+'蘭陽'!O35</f>
        <v>0</v>
      </c>
      <c r="N3" s="111">
        <f>'AZ'!O35+'GM資產組'!O35+'GS事務組'!P35+'台北總務組'!P35+'蘭陽'!P35</f>
        <v>49</v>
      </c>
      <c r="O3" s="111">
        <f>'AZ'!P35+'GM資產組'!P35+'GS事務組'!Q35+'台北總務組'!Q35+'蘭陽'!Q35</f>
        <v>0</v>
      </c>
      <c r="P3" s="111">
        <f>'AZ'!Q35+'GM資產組'!Q35+'GS事務組'!R35+'台北總務組'!R35+'蘭陽'!R35</f>
        <v>3.122</v>
      </c>
      <c r="Q3" s="111">
        <f>'AZ'!R35+'GM資產組'!R35+'GS事務組'!S35+'台北總務組'!S35+'蘭陽'!S35</f>
        <v>0</v>
      </c>
      <c r="R3" s="111">
        <f>'AZ'!S35+'GM資產組'!S35+'GS事務組'!T35+'台北總務組'!T35+'蘭陽'!T35</f>
        <v>1</v>
      </c>
      <c r="S3" s="111">
        <f>'AZ'!T35+'GM資產組'!T35+'GS事務組'!U35+'台北總務組'!U35+'蘭陽'!U35</f>
        <v>8</v>
      </c>
      <c r="T3" s="111">
        <f>'AZ'!U35+'GM資產組'!U35+'GS事務組'!V35+'台北總務組'!V35+'蘭陽'!V35</f>
        <v>7</v>
      </c>
      <c r="U3" s="111">
        <f>'AZ'!V35+'GM資產組'!V35+'GS事務組'!W35+'台北總務組'!W35+'蘭陽'!W35</f>
        <v>76.25</v>
      </c>
      <c r="V3" s="112" t="e">
        <f>'AZ'!W35+'GM資產組'!W35+'GS事務組'!X35+台北總務組!#REF!+'蘭陽'!X35</f>
        <v>#REF!</v>
      </c>
    </row>
    <row r="4" spans="1:22" ht="15">
      <c r="A4" s="109">
        <v>3</v>
      </c>
      <c r="B4" s="110" t="e">
        <f t="shared" si="0"/>
        <v>#REF!</v>
      </c>
      <c r="C4" s="111">
        <f>'AZ'!D36+'GM資產組'!D36+'GS事務組'!E36+'台北總務組'!E36+'蘭陽'!E36</f>
        <v>2419</v>
      </c>
      <c r="D4" s="111">
        <f>'AZ'!E36+'GM資產組'!E36+'GS事務組'!F36+'台北總務組'!F36+'蘭陽'!F36</f>
        <v>0</v>
      </c>
      <c r="E4" s="111">
        <f>'AZ'!F36+'GM資產組'!F36+'GS事務組'!G36+'台北總務組'!G36+'蘭陽'!G36</f>
        <v>164</v>
      </c>
      <c r="F4" s="111">
        <f>'AZ'!G36+'GM資產組'!G36+'GS事務組'!H36+'台北總務組'!H36+'蘭陽'!H36</f>
        <v>300</v>
      </c>
      <c r="G4" s="111">
        <f>'AZ'!H36+'GM資產組'!H36+'GS事務組'!I36+'台北總務組'!I36+'蘭陽'!I36</f>
        <v>0</v>
      </c>
      <c r="H4" s="111">
        <f>'AZ'!I36+'GM資產組'!I36+'GS事務組'!J36+'台北總務組'!J36+'蘭陽'!J36</f>
        <v>387</v>
      </c>
      <c r="I4" s="111">
        <f>'AZ'!J36+'GM資產組'!J36+'GS事務組'!K36+'台北總務組'!K36+'蘭陽'!K36</f>
        <v>161</v>
      </c>
      <c r="J4" s="111">
        <f>'AZ'!K36+'GM資產組'!K36+'GS事務組'!L36+'台北總務組'!L36+'蘭陽'!L36</f>
        <v>0</v>
      </c>
      <c r="K4" s="111">
        <f>'AZ'!L36+'GM資產組'!L36+'GS事務組'!M36+'台北總務組'!M36+'蘭陽'!M36</f>
        <v>0</v>
      </c>
      <c r="L4" s="111">
        <f>'AZ'!M36+'GM資產組'!M36+'GS事務組'!N36+'台北總務組'!N36+'蘭陽'!N36</f>
        <v>1414</v>
      </c>
      <c r="M4" s="111">
        <f>'AZ'!N36+'GM資產組'!N36+'GS事務組'!O36+'台北總務組'!O36+'蘭陽'!O36</f>
        <v>0</v>
      </c>
      <c r="N4" s="111">
        <f>'AZ'!O36+'GM資產組'!O36+'GS事務組'!P36+'台北總務組'!P36+'蘭陽'!P36</f>
        <v>144</v>
      </c>
      <c r="O4" s="111">
        <f>'AZ'!P36+'GM資產組'!P36+'GS事務組'!Q36+'台北總務組'!Q36+'蘭陽'!Q36</f>
        <v>0</v>
      </c>
      <c r="P4" s="111">
        <f>'AZ'!Q36+'GM資產組'!Q36+'GS事務組'!R36+'台北總務組'!R36+'蘭陽'!R36</f>
        <v>0.08</v>
      </c>
      <c r="Q4" s="111">
        <f>'AZ'!R36+'GM資產組'!R36+'GS事務組'!S36+'台北總務組'!S36+'蘭陽'!S36</f>
        <v>0</v>
      </c>
      <c r="R4" s="111">
        <f>'AZ'!S36+'GM資產組'!S36+'GS事務組'!T36+'台北總務組'!T36+'蘭陽'!T36</f>
        <v>48</v>
      </c>
      <c r="S4" s="111">
        <f>'AZ'!T36+'GM資產組'!T36+'GS事務組'!U36+'台北總務組'!U36+'蘭陽'!U36</f>
        <v>14</v>
      </c>
      <c r="T4" s="111">
        <f>'AZ'!U36+'GM資產組'!U36+'GS事務組'!V36+'台北總務組'!V36+'蘭陽'!V36</f>
        <v>2.7199999999999998</v>
      </c>
      <c r="U4" s="111">
        <f>'AZ'!V36+'GM資產組'!V36+'GS事務組'!W36+'台北總務組'!W36+'蘭陽'!W36</f>
        <v>36</v>
      </c>
      <c r="V4" s="112" t="e">
        <f>'AZ'!W36+'GM資產組'!W36+'GS事務組'!X36+台北總務組!#REF!+'蘭陽'!X36</f>
        <v>#REF!</v>
      </c>
    </row>
    <row r="5" spans="1:22" ht="15">
      <c r="A5" s="109">
        <v>4</v>
      </c>
      <c r="B5" s="110" t="e">
        <f t="shared" si="0"/>
        <v>#REF!</v>
      </c>
      <c r="C5" s="111">
        <f>'AZ'!D37+'GM資產組'!D37+'GS事務組'!E37+'台北總務組'!E37+'蘭陽'!E37</f>
        <v>1660</v>
      </c>
      <c r="D5" s="111">
        <f>'AZ'!E37+'GM資產組'!E37+'GS事務組'!F37+'台北總務組'!F37+'蘭陽'!F37</f>
        <v>0</v>
      </c>
      <c r="E5" s="111">
        <f>'AZ'!F37+'GM資產組'!F37+'GS事務組'!G37+'台北總務組'!G37+'蘭陽'!G37</f>
        <v>175</v>
      </c>
      <c r="F5" s="111">
        <f>'AZ'!G37+'GM資產組'!G37+'GS事務組'!H37+'台北總務組'!H37+'蘭陽'!H37</f>
        <v>0</v>
      </c>
      <c r="G5" s="111">
        <f>'AZ'!H37+'GM資產組'!H37+'GS事務組'!I37+'台北總務組'!I37+'蘭陽'!I37</f>
        <v>0</v>
      </c>
      <c r="H5" s="111">
        <f>'AZ'!I37+'GM資產組'!I37+'GS事務組'!J37+'台北總務組'!J37+'蘭陽'!J37</f>
        <v>391</v>
      </c>
      <c r="I5" s="111">
        <f>'AZ'!J37+'GM資產組'!J37+'GS事務組'!K37+'台北總務組'!K37+'蘭陽'!K37</f>
        <v>120</v>
      </c>
      <c r="J5" s="111">
        <f>'AZ'!K37+'GM資產組'!K37+'GS事務組'!L37+'台北總務組'!L37+'蘭陽'!L37</f>
        <v>0</v>
      </c>
      <c r="K5" s="111">
        <f>'AZ'!L37+'GM資產組'!L37+'GS事務組'!M37+'台北總務組'!M37+'蘭陽'!M37</f>
        <v>0</v>
      </c>
      <c r="L5" s="111">
        <f>'AZ'!M37+'GM資產組'!M37+'GS事務組'!N37+'台北總務組'!N37+'蘭陽'!N37</f>
        <v>0</v>
      </c>
      <c r="M5" s="111">
        <f>'AZ'!N37+'GM資產組'!N37+'GS事務組'!O37+'台北總務組'!O37+'蘭陽'!O37</f>
        <v>0</v>
      </c>
      <c r="N5" s="111">
        <f>'AZ'!O37+'GM資產組'!O37+'GS事務組'!P37+'台北總務組'!P37+'蘭陽'!P37</f>
        <v>117</v>
      </c>
      <c r="O5" s="111">
        <f>'AZ'!P37+'GM資產組'!P37+'GS事務組'!Q37+'台北總務組'!Q37+'蘭陽'!Q37</f>
        <v>0</v>
      </c>
      <c r="P5" s="111">
        <f>'AZ'!Q37+'GM資產組'!Q37+'GS事務組'!R37+'台北總務組'!R37+'蘭陽'!R37</f>
        <v>2.48</v>
      </c>
      <c r="Q5" s="111">
        <f>'AZ'!R37+'GM資產組'!R37+'GS事務組'!S37+'台北總務組'!S37+'蘭陽'!S37</f>
        <v>0</v>
      </c>
      <c r="R5" s="111">
        <f>'AZ'!S37+'GM資產組'!S37+'GS事務組'!T37+'台北總務組'!T37+'蘭陽'!T37</f>
        <v>48</v>
      </c>
      <c r="S5" s="111">
        <f>'AZ'!T37+'GM資產組'!T37+'GS事務組'!U37+'台北總務組'!U37+'蘭陽'!U37</f>
        <v>0</v>
      </c>
      <c r="T5" s="111">
        <f>'AZ'!U37+'GM資產組'!U37+'GS事務組'!V37+'台北總務組'!V37+'蘭陽'!V37</f>
        <v>3</v>
      </c>
      <c r="U5" s="111">
        <f>'AZ'!V37+'GM資產組'!V37+'GS事務組'!W37+'台北總務組'!W37+'蘭陽'!W37</f>
        <v>71.25</v>
      </c>
      <c r="V5" s="112" t="e">
        <f>'AZ'!W37+'GM資產組'!W37+'GS事務組'!X37+台北總務組!#REF!+'蘭陽'!X37</f>
        <v>#REF!</v>
      </c>
    </row>
    <row r="6" spans="1:22" ht="15">
      <c r="A6" s="109">
        <v>5</v>
      </c>
      <c r="B6" s="110" t="e">
        <f t="shared" si="0"/>
        <v>#REF!</v>
      </c>
      <c r="C6" s="111">
        <f>'AZ'!D38+'GM資產組'!D38+'GS事務組'!E38+'台北總務組'!E38+'蘭陽'!E38</f>
        <v>1942</v>
      </c>
      <c r="D6" s="111">
        <f>'AZ'!E38+'GM資產組'!E38+'GS事務組'!F38+'台北總務組'!F38+'蘭陽'!F38</f>
        <v>0</v>
      </c>
      <c r="E6" s="111">
        <f>'AZ'!F38+'GM資產組'!F38+'GS事務組'!G38+'台北總務組'!G38+'蘭陽'!G38</f>
        <v>253</v>
      </c>
      <c r="F6" s="111">
        <f>'AZ'!G38+'GM資產組'!G38+'GS事務組'!H38+'台北總務組'!H38+'蘭陽'!H38</f>
        <v>0</v>
      </c>
      <c r="G6" s="111">
        <f>'AZ'!H38+'GM資產組'!H38+'GS事務組'!I38+'台北總務組'!I38+'蘭陽'!I38</f>
        <v>0</v>
      </c>
      <c r="H6" s="111">
        <f>'AZ'!I38+'GM資產組'!I38+'GS事務組'!J38+'台北總務組'!J38+'蘭陽'!J38</f>
        <v>605</v>
      </c>
      <c r="I6" s="111">
        <f>'AZ'!J38+'GM資產組'!J38+'GS事務組'!K38+'台北總務組'!K38+'蘭陽'!K38</f>
        <v>151</v>
      </c>
      <c r="J6" s="111">
        <f>'AZ'!K38+'GM資產組'!K38+'GS事務組'!L38+'台北總務組'!L38+'蘭陽'!L38</f>
        <v>0</v>
      </c>
      <c r="K6" s="111">
        <f>'AZ'!L38+'GM資產組'!L38+'GS事務組'!M38+'台北總務組'!M38+'蘭陽'!M38</f>
        <v>80</v>
      </c>
      <c r="L6" s="111">
        <f>'AZ'!M38+'GM資產組'!M38+'GS事務組'!N38+'台北總務組'!N38+'蘭陽'!N38</f>
        <v>0</v>
      </c>
      <c r="M6" s="111">
        <f>'AZ'!N38+'GM資產組'!N38+'GS事務組'!O38+'台北總務組'!O38+'蘭陽'!O38</f>
        <v>0</v>
      </c>
      <c r="N6" s="111">
        <f>'AZ'!O38+'GM資產組'!O38+'GS事務組'!P38+'台北總務組'!P38+'蘭陽'!P38</f>
        <v>142</v>
      </c>
      <c r="O6" s="111">
        <f>'AZ'!P38+'GM資產組'!P38+'GS事務組'!Q38+'台北總務組'!Q38+'蘭陽'!Q38</f>
        <v>0</v>
      </c>
      <c r="P6" s="111">
        <f>'AZ'!Q38+'GM資產組'!Q38+'GS事務組'!R38+'台北總務組'!R38+'蘭陽'!R38</f>
        <v>1.11</v>
      </c>
      <c r="Q6" s="111">
        <f>'AZ'!R38+'GM資產組'!R38+'GS事務組'!S38+'台北總務組'!S38+'蘭陽'!S38</f>
        <v>0</v>
      </c>
      <c r="R6" s="111">
        <f>'AZ'!S38+'GM資產組'!S38+'GS事務組'!T38+'台北總務組'!T38+'蘭陽'!T38</f>
        <v>2</v>
      </c>
      <c r="S6" s="111">
        <f>'AZ'!T38+'GM資產組'!T38+'GS事務組'!U38+'台北總務組'!U38+'蘭陽'!U38</f>
        <v>18</v>
      </c>
      <c r="T6" s="111">
        <f>'AZ'!U38+'GM資產組'!U38+'GS事務組'!V38+'台北總務組'!V38+'蘭陽'!V38</f>
        <v>2</v>
      </c>
      <c r="U6" s="111">
        <f>'AZ'!V38+'GM資產組'!V38+'GS事務組'!W38+'台北總務組'!W38+'蘭陽'!W38</f>
        <v>76.75</v>
      </c>
      <c r="V6" s="112" t="e">
        <f>'AZ'!W38+'GM資產組'!W38+'GS事務組'!X38+台北總務組!#REF!+'蘭陽'!X38</f>
        <v>#REF!</v>
      </c>
    </row>
    <row r="7" spans="1:22" ht="15">
      <c r="A7" s="109">
        <v>6</v>
      </c>
      <c r="B7" s="110" t="e">
        <f t="shared" si="0"/>
        <v>#REF!</v>
      </c>
      <c r="C7" s="111">
        <f>'AZ'!D39+'GM資產組'!D39+'GS事務組'!E39+'台北總務組'!E39+'蘭陽'!E39</f>
        <v>1834</v>
      </c>
      <c r="D7" s="111">
        <f>'AZ'!E39+'GM資產組'!E39+'GS事務組'!F39+'台北總務組'!F39+'蘭陽'!F39</f>
        <v>0</v>
      </c>
      <c r="E7" s="111">
        <f>'AZ'!F39+'GM資產組'!F39+'GS事務組'!G39+'台北總務組'!G39+'蘭陽'!G39</f>
        <v>161</v>
      </c>
      <c r="F7" s="111">
        <f>'AZ'!G39+'GM資產組'!G39+'GS事務組'!H39+'台北總務組'!H39+'蘭陽'!H39</f>
        <v>1352</v>
      </c>
      <c r="G7" s="111">
        <f>'AZ'!H39+'GM資產組'!H39+'GS事務組'!I39+'台北總務組'!I39+'蘭陽'!I39</f>
        <v>0</v>
      </c>
      <c r="H7" s="111">
        <f>'AZ'!I39+'GM資產組'!I39+'GS事務組'!J39+'台北總務組'!J39+'蘭陽'!J39</f>
        <v>538</v>
      </c>
      <c r="I7" s="111">
        <f>'AZ'!J39+'GM資產組'!J39+'GS事務組'!K39+'台北總務組'!K39+'蘭陽'!K39</f>
        <v>256</v>
      </c>
      <c r="J7" s="111">
        <f>'AZ'!K39+'GM資產組'!K39+'GS事務組'!L39+'台北總務組'!L39+'蘭陽'!L39</f>
        <v>0</v>
      </c>
      <c r="K7" s="111">
        <f>'AZ'!L39+'GM資產組'!L39+'GS事務組'!M39+'台北總務組'!M39+'蘭陽'!M39</f>
        <v>50</v>
      </c>
      <c r="L7" s="111">
        <f>'AZ'!M39+'GM資產組'!M39+'GS事務組'!N39+'台北總務組'!N39+'蘭陽'!N39</f>
        <v>3242</v>
      </c>
      <c r="M7" s="111">
        <f>'AZ'!N39+'GM資產組'!N39+'GS事務組'!O39+'台北總務組'!O39+'蘭陽'!O39</f>
        <v>0</v>
      </c>
      <c r="N7" s="111">
        <f>'AZ'!O39+'GM資產組'!O39+'GS事務組'!P39+'台北總務組'!P39+'蘭陽'!P39</f>
        <v>48</v>
      </c>
      <c r="O7" s="111">
        <f>'AZ'!P39+'GM資產組'!P39+'GS事務組'!Q39+'台北總務組'!Q39+'蘭陽'!Q39</f>
        <v>0</v>
      </c>
      <c r="P7" s="111">
        <f>'AZ'!Q39+'GM資產組'!Q39+'GS事務組'!R39+'台北總務組'!R39+'蘭陽'!R39</f>
        <v>1.03</v>
      </c>
      <c r="Q7" s="111">
        <f>'AZ'!R39+'GM資產組'!R39+'GS事務組'!S39+'台北總務組'!S39+'蘭陽'!S39</f>
        <v>0</v>
      </c>
      <c r="R7" s="111">
        <f>'AZ'!S39+'GM資產組'!S39+'GS事務組'!T39+'台北總務組'!T39+'蘭陽'!T39</f>
        <v>2</v>
      </c>
      <c r="S7" s="111">
        <f>'AZ'!T39+'GM資產組'!T39+'GS事務組'!U39+'台北總務組'!U39+'蘭陽'!U39</f>
        <v>14</v>
      </c>
      <c r="T7" s="111">
        <f>'AZ'!U39+'GM資產組'!U39+'GS事務組'!V39+'台北總務組'!V39+'蘭陽'!V39</f>
        <v>0</v>
      </c>
      <c r="U7" s="111">
        <f>'AZ'!V39+'GM資產組'!V39+'GS事務組'!W39+'台北總務組'!W39+'蘭陽'!W39</f>
        <v>8</v>
      </c>
      <c r="V7" s="112" t="e">
        <f>'AZ'!W39+'GM資產組'!W39+'GS事務組'!X39+台北總務組!#REF!+'蘭陽'!X39</f>
        <v>#REF!</v>
      </c>
    </row>
    <row r="8" spans="1:22" ht="15">
      <c r="A8" s="109">
        <v>7</v>
      </c>
      <c r="B8" s="110" t="e">
        <f t="shared" si="0"/>
        <v>#REF!</v>
      </c>
      <c r="C8" s="111">
        <f>'AZ'!D40+'GM資產組'!D40+'GS事務組'!E40+'台北總務組'!E40+'蘭陽'!E40</f>
        <v>1149</v>
      </c>
      <c r="D8" s="111">
        <f>'AZ'!E40+'GM資產組'!E40+'GS事務組'!F40+'台北總務組'!F40+'蘭陽'!F40</f>
        <v>0</v>
      </c>
      <c r="E8" s="111">
        <f>'AZ'!F40+'GM資產組'!F40+'GS事務組'!G40+'台北總務組'!G40+'蘭陽'!G40</f>
        <v>141</v>
      </c>
      <c r="F8" s="111">
        <f>'AZ'!G40+'GM資產組'!G40+'GS事務組'!H40+'台北總務組'!H40+'蘭陽'!H40</f>
        <v>0</v>
      </c>
      <c r="G8" s="111">
        <f>'AZ'!H40+'GM資產組'!H40+'GS事務組'!I40+'台北總務組'!I40+'蘭陽'!I40</f>
        <v>0</v>
      </c>
      <c r="H8" s="111">
        <f>'AZ'!I40+'GM資產組'!I40+'GS事務組'!J40+'台北總務組'!J40+'蘭陽'!J40</f>
        <v>416</v>
      </c>
      <c r="I8" s="111">
        <f>'AZ'!J40+'GM資產組'!J40+'GS事務組'!K40+'台北總務組'!K40+'蘭陽'!K40</f>
        <v>93</v>
      </c>
      <c r="J8" s="111">
        <f>'AZ'!K40+'GM資產組'!K40+'GS事務組'!L40+'台北總務組'!L40+'蘭陽'!L40</f>
        <v>0</v>
      </c>
      <c r="K8" s="111">
        <f>'AZ'!L40+'GM資產組'!L40+'GS事務組'!M40+'台北總務組'!M40+'蘭陽'!M40</f>
        <v>0</v>
      </c>
      <c r="L8" s="111">
        <f>'AZ'!M40+'GM資產組'!M40+'GS事務組'!N40+'台北總務組'!N40+'蘭陽'!N40</f>
        <v>0</v>
      </c>
      <c r="M8" s="111">
        <f>'AZ'!N40+'GM資產組'!N40+'GS事務組'!O40+'台北總務組'!O40+'蘭陽'!O40</f>
        <v>0</v>
      </c>
      <c r="N8" s="111">
        <f>'AZ'!O40+'GM資產組'!O40+'GS事務組'!P40+'台北總務組'!P40+'蘭陽'!P40</f>
        <v>47</v>
      </c>
      <c r="O8" s="111">
        <f>'AZ'!P40+'GM資產組'!P40+'GS事務組'!Q40+'台北總務組'!Q40+'蘭陽'!Q40</f>
        <v>0</v>
      </c>
      <c r="P8" s="111">
        <f>'AZ'!Q40+'GM資產組'!Q40+'GS事務組'!R40+'台北總務組'!R40+'蘭陽'!R40</f>
        <v>0.66</v>
      </c>
      <c r="Q8" s="111">
        <f>'AZ'!R40+'GM資產組'!R40+'GS事務組'!S40+'台北總務組'!S40+'蘭陽'!S40</f>
        <v>0</v>
      </c>
      <c r="R8" s="111">
        <f>'AZ'!S40+'GM資產組'!S40+'GS事務組'!T40+'台北總務組'!T40+'蘭陽'!T40</f>
        <v>2</v>
      </c>
      <c r="S8" s="111">
        <f>'AZ'!T40+'GM資產組'!T40+'GS事務組'!U40+'台北總務組'!U40+'蘭陽'!U40</f>
        <v>11</v>
      </c>
      <c r="T8" s="111">
        <f>'AZ'!U40+'GM資產組'!U40+'GS事務組'!V40+'台北總務組'!V40+'蘭陽'!V40</f>
        <v>5.51</v>
      </c>
      <c r="U8" s="111">
        <f>'AZ'!V40+'GM資產組'!V40+'GS事務組'!W40+'台北總務組'!W40+'蘭陽'!W40</f>
        <v>41.5</v>
      </c>
      <c r="V8" s="112" t="e">
        <f>'AZ'!W40+'GM資產組'!W40+'GS事務組'!X40+台北總務組!#REF!+'蘭陽'!X40</f>
        <v>#REF!</v>
      </c>
    </row>
    <row r="9" spans="1:22" ht="15">
      <c r="A9" s="109">
        <v>8</v>
      </c>
      <c r="B9" s="110" t="e">
        <f t="shared" si="0"/>
        <v>#REF!</v>
      </c>
      <c r="C9" s="111">
        <f>'AZ'!D41+'GM資產組'!D41+'GS事務組'!E41+'台北總務組'!E41+'蘭陽'!E41</f>
        <v>959</v>
      </c>
      <c r="D9" s="111">
        <f>'AZ'!E41+'GM資產組'!E41+'GS事務組'!F41+'台北總務組'!F41+'蘭陽'!F41</f>
        <v>0</v>
      </c>
      <c r="E9" s="111">
        <f>'AZ'!F41+'GM資產組'!F41+'GS事務組'!G41+'台北總務組'!G41+'蘭陽'!G41</f>
        <v>113</v>
      </c>
      <c r="F9" s="111">
        <f>'AZ'!G41+'GM資產組'!G41+'GS事務組'!H41+'台北總務組'!H41+'蘭陽'!H41</f>
        <v>10</v>
      </c>
      <c r="G9" s="111">
        <f>'AZ'!H41+'GM資產組'!H41+'GS事務組'!I41+'台北總務組'!I41+'蘭陽'!I41</f>
        <v>0</v>
      </c>
      <c r="H9" s="111">
        <f>'AZ'!I41+'GM資產組'!I41+'GS事務組'!J41+'台北總務組'!J41+'蘭陽'!J41</f>
        <v>328</v>
      </c>
      <c r="I9" s="111">
        <f>'AZ'!J41+'GM資產組'!J41+'GS事務組'!K41+'台北總務組'!K41+'蘭陽'!K41</f>
        <v>56</v>
      </c>
      <c r="J9" s="111">
        <f>'AZ'!K41+'GM資產組'!K41+'GS事務組'!L41+'台北總務組'!L41+'蘭陽'!L41</f>
        <v>0</v>
      </c>
      <c r="K9" s="111">
        <f>'AZ'!L41+'GM資產組'!L41+'GS事務組'!M41+'台北總務組'!M41+'蘭陽'!M41</f>
        <v>0</v>
      </c>
      <c r="L9" s="111">
        <f>'AZ'!M41+'GM資產組'!M41+'GS事務組'!N41+'台北總務組'!N41+'蘭陽'!N41</f>
        <v>0</v>
      </c>
      <c r="M9" s="111">
        <f>'AZ'!N41+'GM資產組'!N41+'GS事務組'!O41+'台北總務組'!O41+'蘭陽'!O41</f>
        <v>0</v>
      </c>
      <c r="N9" s="111">
        <f>'AZ'!O41+'GM資產組'!O41+'GS事務組'!P41+'台北總務組'!P41+'蘭陽'!P41</f>
        <v>38</v>
      </c>
      <c r="O9" s="111">
        <f>'AZ'!P41+'GM資產組'!P41+'GS事務組'!Q41+'台北總務組'!Q41+'蘭陽'!Q41</f>
        <v>0</v>
      </c>
      <c r="P9" s="111">
        <f>'AZ'!Q41+'GM資產組'!Q41+'GS事務組'!R41+'台北總務組'!R41+'蘭陽'!R41</f>
        <v>3.8449999999999998</v>
      </c>
      <c r="Q9" s="111">
        <f>'AZ'!R41+'GM資產組'!R41+'GS事務組'!S41+'台北總務組'!S41+'蘭陽'!S41</f>
        <v>0</v>
      </c>
      <c r="R9" s="111">
        <f>'AZ'!S41+'GM資產組'!S41+'GS事務組'!T41+'台北總務組'!T41+'蘭陽'!T41</f>
        <v>51</v>
      </c>
      <c r="S9" s="111">
        <f>'AZ'!T41+'GM資產組'!T41+'GS事務組'!U41+'台北總務組'!U41+'蘭陽'!U41</f>
        <v>14</v>
      </c>
      <c r="T9" s="111">
        <f>'AZ'!U41+'GM資產組'!U41+'GS事務組'!V41+'台北總務組'!V41+'蘭陽'!V41</f>
        <v>6</v>
      </c>
      <c r="U9" s="111">
        <f>'AZ'!V41+'GM資產組'!V41+'GS事務組'!W41+'台北總務組'!W41+'蘭陽'!W41</f>
        <v>38</v>
      </c>
      <c r="V9" s="112" t="e">
        <f>'AZ'!W41+'GM資產組'!W41+'GS事務組'!X41+台北總務組!#REF!+'蘭陽'!X41</f>
        <v>#REF!</v>
      </c>
    </row>
    <row r="10" spans="1:22" ht="15">
      <c r="A10" s="109">
        <v>9</v>
      </c>
      <c r="B10" s="110" t="e">
        <f t="shared" si="0"/>
        <v>#REF!</v>
      </c>
      <c r="C10" s="111">
        <f>'AZ'!D42+'GM資產組'!D42+'GS事務組'!E42+'台北總務組'!E42+'蘭陽'!E42</f>
        <v>1485</v>
      </c>
      <c r="D10" s="111">
        <f>'AZ'!E42+'GM資產組'!E42+'GS事務組'!F42+'台北總務組'!F42+'蘭陽'!F42</f>
        <v>0</v>
      </c>
      <c r="E10" s="111">
        <f>'AZ'!F42+'GM資產組'!F42+'GS事務組'!G42+'台北總務組'!G42+'蘭陽'!G42</f>
        <v>212</v>
      </c>
      <c r="F10" s="111">
        <f>'AZ'!G42+'GM資產組'!G42+'GS事務組'!H42+'台北總務組'!H42+'蘭陽'!H42</f>
        <v>10</v>
      </c>
      <c r="G10" s="111">
        <f>'AZ'!H42+'GM資產組'!H42+'GS事務組'!I42+'台北總務組'!I42+'蘭陽'!I42</f>
        <v>0</v>
      </c>
      <c r="H10" s="111">
        <f>'AZ'!I42+'GM資產組'!I42+'GS事務組'!J42+'台北總務組'!J42+'蘭陽'!J42</f>
        <v>480</v>
      </c>
      <c r="I10" s="111">
        <f>'AZ'!J42+'GM資產組'!J42+'GS事務組'!K42+'台北總務組'!K42+'蘭陽'!K42</f>
        <v>181</v>
      </c>
      <c r="J10" s="111">
        <f>'AZ'!K42+'GM資產組'!K42+'GS事務組'!L42+'台北總務組'!L42+'蘭陽'!L42</f>
        <v>0</v>
      </c>
      <c r="K10" s="111">
        <f>'AZ'!L42+'GM資產組'!L42+'GS事務組'!M42+'台北總務組'!M42+'蘭陽'!M42</f>
        <v>0</v>
      </c>
      <c r="L10" s="111">
        <f>'AZ'!M42+'GM資產組'!M42+'GS事務組'!N42+'台北總務組'!N42+'蘭陽'!N42</f>
        <v>0</v>
      </c>
      <c r="M10" s="111">
        <f>'AZ'!N42+'GM資產組'!N42+'GS事務組'!O42+'台北總務組'!O42+'蘭陽'!O42</f>
        <v>0</v>
      </c>
      <c r="N10" s="111">
        <f>'AZ'!O42+'GM資產組'!O42+'GS事務組'!P42+'台北總務組'!P42+'蘭陽'!P42</f>
        <v>61</v>
      </c>
      <c r="O10" s="111">
        <f>'AZ'!P42+'GM資產組'!P42+'GS事務組'!Q42+'台北總務組'!Q42+'蘭陽'!Q42</f>
        <v>0</v>
      </c>
      <c r="P10" s="111">
        <f>'AZ'!Q42+'GM資產組'!Q42+'GS事務組'!R42+'台北總務組'!R42+'蘭陽'!R42</f>
        <v>10.395</v>
      </c>
      <c r="Q10" s="111">
        <f>'AZ'!R42+'GM資產組'!R42+'GS事務組'!S42+'台北總務組'!S42+'蘭陽'!S42</f>
        <v>0</v>
      </c>
      <c r="R10" s="111">
        <f>'AZ'!S42+'GM資產組'!S42+'GS事務組'!T42+'台北總務組'!T42+'蘭陽'!T42</f>
        <v>2</v>
      </c>
      <c r="S10" s="111">
        <f>'AZ'!T42+'GM資產組'!T42+'GS事務組'!U42+'台北總務組'!U42+'蘭陽'!U42</f>
        <v>12</v>
      </c>
      <c r="T10" s="111">
        <f>'AZ'!U42+'GM資產組'!U42+'GS事務組'!V42+'台北總務組'!V42+'蘭陽'!V42</f>
        <v>5</v>
      </c>
      <c r="U10" s="111">
        <f>'AZ'!V42+'GM資產組'!V42+'GS事務組'!W42+'台北總務組'!W42+'蘭陽'!W42</f>
        <v>91</v>
      </c>
      <c r="V10" s="112" t="e">
        <f>'AZ'!W42+'GM資產組'!W42+'GS事務組'!X42+台北總務組!#REF!+'蘭陽'!X42</f>
        <v>#REF!</v>
      </c>
    </row>
    <row r="11" spans="1:22" ht="15">
      <c r="A11" s="109">
        <v>10</v>
      </c>
      <c r="B11" s="110" t="e">
        <f t="shared" si="0"/>
        <v>#REF!</v>
      </c>
      <c r="C11" s="111">
        <f>'AZ'!D43+'GM資產組'!D43+'GS事務組'!E43+'台北總務組'!E43+'蘭陽'!E43</f>
        <v>1564</v>
      </c>
      <c r="D11" s="111">
        <f>'AZ'!E43+'GM資產組'!E43+'GS事務組'!F43+'台北總務組'!F43+'蘭陽'!F43</f>
        <v>0</v>
      </c>
      <c r="E11" s="111">
        <f>'AZ'!F43+'GM資產組'!F43+'GS事務組'!G43+'台北總務組'!G43+'蘭陽'!G43</f>
        <v>187</v>
      </c>
      <c r="F11" s="111">
        <f>'AZ'!G43+'GM資產組'!G43+'GS事務組'!H43+'台北總務組'!H43+'蘭陽'!H43</f>
        <v>900</v>
      </c>
      <c r="G11" s="111">
        <f>'AZ'!H43+'GM資產組'!H43+'GS事務組'!I43+'台北總務組'!I43+'蘭陽'!I43</f>
        <v>0</v>
      </c>
      <c r="H11" s="111">
        <f>'AZ'!I43+'GM資產組'!I43+'GS事務組'!J43+'台北總務組'!J43+'蘭陽'!J43</f>
        <v>453</v>
      </c>
      <c r="I11" s="111">
        <f>'AZ'!J43+'GM資產組'!J43+'GS事務組'!K43+'台北總務組'!K43+'蘭陽'!K43</f>
        <v>87</v>
      </c>
      <c r="J11" s="111">
        <f>'AZ'!K43+'GM資產組'!K43+'GS事務組'!L43+'台北總務組'!L43+'蘭陽'!L43</f>
        <v>0</v>
      </c>
      <c r="K11" s="111">
        <f>'AZ'!L43+'GM資產組'!L43+'GS事務組'!M43+'台北總務組'!M43+'蘭陽'!M43</f>
        <v>12</v>
      </c>
      <c r="L11" s="111">
        <f>'AZ'!M43+'GM資產組'!M43+'GS事務組'!N43+'台北總務組'!N43+'蘭陽'!N43</f>
        <v>1776</v>
      </c>
      <c r="M11" s="111">
        <f>'AZ'!N43+'GM資產組'!N43+'GS事務組'!O43+'台北總務組'!O43+'蘭陽'!O43</f>
        <v>0</v>
      </c>
      <c r="N11" s="111">
        <f>'AZ'!O43+'GM資產組'!O43+'GS事務組'!P43+'台北總務組'!P43+'蘭陽'!P43</f>
        <v>76</v>
      </c>
      <c r="O11" s="111">
        <f>'AZ'!P43+'GM資產組'!P43+'GS事務組'!Q43+'台北總務組'!Q43+'蘭陽'!Q43</f>
        <v>0</v>
      </c>
      <c r="P11" s="111">
        <f>'AZ'!Q43+'GM資產組'!Q43+'GS事務組'!R43+'台北總務組'!R43+'蘭陽'!R43</f>
        <v>12.495</v>
      </c>
      <c r="Q11" s="111">
        <f>'AZ'!R43+'GM資產組'!R43+'GS事務組'!S43+'台北總務組'!S43+'蘭陽'!S43</f>
        <v>0</v>
      </c>
      <c r="R11" s="111">
        <f>'AZ'!S43+'GM資產組'!S43+'GS事務組'!T43+'台北總務組'!T43+'蘭陽'!T43</f>
        <v>67</v>
      </c>
      <c r="S11" s="111">
        <f>'AZ'!T43+'GM資產組'!T43+'GS事務組'!U43+'台北總務組'!U43+'蘭陽'!U43</f>
        <v>17</v>
      </c>
      <c r="T11" s="111">
        <f>'AZ'!U43+'GM資產組'!U43+'GS事務組'!V43+'台北總務組'!V43+'蘭陽'!V43</f>
        <v>6</v>
      </c>
      <c r="U11" s="111">
        <f>'AZ'!V43+'GM資產組'!V43+'GS事務組'!W43+'台北總務組'!W43+'蘭陽'!W43</f>
        <v>53.5</v>
      </c>
      <c r="V11" s="112" t="e">
        <f>'AZ'!W43+'GM資產組'!W43+'GS事務組'!X43+台北總務組!#REF!+'蘭陽'!X43</f>
        <v>#REF!</v>
      </c>
    </row>
    <row r="12" spans="1:22" ht="15">
      <c r="A12" s="109">
        <v>11</v>
      </c>
      <c r="B12" s="110" t="e">
        <f t="shared" si="0"/>
        <v>#REF!</v>
      </c>
      <c r="C12" s="111">
        <f>'AZ'!D44+'GM資產組'!D44+'GS事務組'!E44+'台北總務組'!E44+'蘭陽'!E44</f>
        <v>1522</v>
      </c>
      <c r="D12" s="111">
        <f>'AZ'!E44+'GM資產組'!E44+'GS事務組'!F44+'台北總務組'!F44+'蘭陽'!F44</f>
        <v>0</v>
      </c>
      <c r="E12" s="111">
        <f>'AZ'!F44+'GM資產組'!F44+'GS事務組'!G44+'台北總務組'!G44+'蘭陽'!G44</f>
        <v>169</v>
      </c>
      <c r="F12" s="111">
        <f>'AZ'!G44+'GM資產組'!G44+'GS事務組'!H44+'台北總務組'!H44+'蘭陽'!H44</f>
        <v>0</v>
      </c>
      <c r="G12" s="111">
        <f>'AZ'!H44+'GM資產組'!H44+'GS事務組'!I44+'台北總務組'!I44+'蘭陽'!I44</f>
        <v>0</v>
      </c>
      <c r="H12" s="111">
        <f>'AZ'!I44+'GM資產組'!I44+'GS事務組'!J44+'台北總務組'!J44+'蘭陽'!J44</f>
        <v>418</v>
      </c>
      <c r="I12" s="111">
        <f>'AZ'!J44+'GM資產組'!J44+'GS事務組'!K44+'台北總務組'!K44+'蘭陽'!K44</f>
        <v>68</v>
      </c>
      <c r="J12" s="111">
        <f>'AZ'!K44+'GM資產組'!K44+'GS事務組'!L44+'台北總務組'!L44+'蘭陽'!L44</f>
        <v>0</v>
      </c>
      <c r="K12" s="111">
        <f>'AZ'!L44+'GM資產組'!L44+'GS事務組'!M44+'台北總務組'!M44+'蘭陽'!M44</f>
        <v>0</v>
      </c>
      <c r="L12" s="111">
        <f>'AZ'!M44+'GM資產組'!M44+'GS事務組'!N44+'台北總務組'!N44+'蘭陽'!N44</f>
        <v>0</v>
      </c>
      <c r="M12" s="111">
        <f>'AZ'!N44+'GM資產組'!N44+'GS事務組'!O44+'台北總務組'!O44+'蘭陽'!O44</f>
        <v>0</v>
      </c>
      <c r="N12" s="111">
        <f>'AZ'!O44+'GM資產組'!O44+'GS事務組'!P44+'台北總務組'!P44+'蘭陽'!P44</f>
        <v>67</v>
      </c>
      <c r="O12" s="111">
        <f>'AZ'!P44+'GM資產組'!P44+'GS事務組'!Q44+'台北總務組'!Q44+'蘭陽'!Q44</f>
        <v>0</v>
      </c>
      <c r="P12" s="111">
        <f>'AZ'!Q44+'GM資產組'!Q44+'GS事務組'!R44+'台北總務組'!R44+'蘭陽'!R44</f>
        <v>4.435</v>
      </c>
      <c r="Q12" s="111">
        <f>'AZ'!R44+'GM資產組'!R44+'GS事務組'!S44+'台北總務組'!S44+'蘭陽'!S44</f>
        <v>0</v>
      </c>
      <c r="R12" s="111">
        <f>'AZ'!S44+'GM資產組'!S44+'GS事務組'!T44+'台北總務組'!T44+'蘭陽'!T44</f>
        <v>57</v>
      </c>
      <c r="S12" s="111">
        <f>'AZ'!T44+'GM資產組'!T44+'GS事務組'!U44+'台北總務組'!U44+'蘭陽'!U44</f>
        <v>1</v>
      </c>
      <c r="T12" s="111">
        <f>'AZ'!U44+'GM資產組'!U44+'GS事務組'!V44+'台北總務組'!V44+'蘭陽'!V44</f>
        <v>6</v>
      </c>
      <c r="U12" s="111">
        <f>'AZ'!V44+'GM資產組'!V44+'GS事務組'!W44+'台北總務組'!W44+'蘭陽'!W44</f>
        <v>47.25</v>
      </c>
      <c r="V12" s="112" t="e">
        <f>'AZ'!W44+'GM資產組'!W44+'GS事務組'!X44+台北總務組!#REF!+'蘭陽'!X44</f>
        <v>#REF!</v>
      </c>
    </row>
    <row r="13" spans="1:22" ht="15.75" thickBot="1">
      <c r="A13" s="113">
        <v>12</v>
      </c>
      <c r="B13" s="110" t="e">
        <f t="shared" si="0"/>
        <v>#REF!</v>
      </c>
      <c r="C13" s="111">
        <f>'AZ'!D45+'GM資產組'!D45+'GS事務組'!E45+'台北總務組'!E45+'蘭陽'!E45</f>
        <v>1584</v>
      </c>
      <c r="D13" s="111">
        <f>'AZ'!E45+'GM資產組'!E45+'GS事務組'!F45+'台北總務組'!F45+'蘭陽'!F45</f>
        <v>0</v>
      </c>
      <c r="E13" s="111">
        <f>'AZ'!F45+'GM資產組'!F45+'GS事務組'!G45+'台北總務組'!G45+'蘭陽'!G45</f>
        <v>208</v>
      </c>
      <c r="F13" s="111">
        <f>'AZ'!G45+'GM資產組'!G45+'GS事務組'!H45+'台北總務組'!H45+'蘭陽'!H45</f>
        <v>0</v>
      </c>
      <c r="G13" s="111">
        <f>'AZ'!H45+'GM資產組'!H45+'GS事務組'!I45+'台北總務組'!I45+'蘭陽'!I45</f>
        <v>0</v>
      </c>
      <c r="H13" s="111">
        <f>'AZ'!I45+'GM資產組'!I45+'GS事務組'!J45+'台北總務組'!J45+'蘭陽'!J45</f>
        <v>236</v>
      </c>
      <c r="I13" s="111">
        <f>'AZ'!J45+'GM資產組'!J45+'GS事務組'!K45+'台北總務組'!K45+'蘭陽'!K45</f>
        <v>102</v>
      </c>
      <c r="J13" s="111">
        <f>'AZ'!K45+'GM資產組'!K45+'GS事務組'!L45+'台北總務組'!L45+'蘭陽'!L45</f>
        <v>0</v>
      </c>
      <c r="K13" s="111">
        <f>'AZ'!L45+'GM資產組'!L45+'GS事務組'!M45+'台北總務組'!M45+'蘭陽'!M45</f>
        <v>0</v>
      </c>
      <c r="L13" s="111">
        <f>'AZ'!M45+'GM資產組'!M45+'GS事務組'!N45+'台北總務組'!N45+'蘭陽'!N45</f>
        <v>24</v>
      </c>
      <c r="M13" s="111">
        <f>'AZ'!N45+'GM資產組'!N45+'GS事務組'!O45+'台北總務組'!O45+'蘭陽'!O45</f>
        <v>0</v>
      </c>
      <c r="N13" s="111">
        <f>'AZ'!O45+'GM資產組'!O45+'GS事務組'!P45+'台北總務組'!P45+'蘭陽'!P45</f>
        <v>51</v>
      </c>
      <c r="O13" s="111">
        <f>'AZ'!P45+'GM資產組'!P45+'GS事務組'!Q45+'台北總務組'!Q45+'蘭陽'!Q45</f>
        <v>0</v>
      </c>
      <c r="P13" s="111">
        <f>'AZ'!Q45+'GM資產組'!Q45+'GS事務組'!R45+'台北總務組'!R45+'蘭陽'!R45</f>
        <v>0.9</v>
      </c>
      <c r="Q13" s="111">
        <f>'AZ'!R45+'GM資產組'!R45+'GS事務組'!S45+'台北總務組'!S45+'蘭陽'!S45</f>
        <v>0</v>
      </c>
      <c r="R13" s="111">
        <f>'AZ'!S45+'GM資產組'!S45+'GS事務組'!T45+'台北總務組'!T45+'蘭陽'!T45</f>
        <v>2</v>
      </c>
      <c r="S13" s="111">
        <f>'AZ'!T45+'GM資產組'!T45+'GS事務組'!U45+'台北總務組'!U45+'蘭陽'!U45</f>
        <v>1</v>
      </c>
      <c r="T13" s="111">
        <f>'AZ'!U45+'GM資產組'!U45+'GS事務組'!V45+'台北總務組'!V45+'蘭陽'!V45</f>
        <v>0</v>
      </c>
      <c r="U13" s="111">
        <f>'AZ'!V45+'GM資產組'!V45+'GS事務組'!W45+'台北總務組'!W45+'蘭陽'!W45</f>
        <v>11</v>
      </c>
      <c r="V13" s="112" t="e">
        <f>'AZ'!W45+'GM資產組'!W45+'GS事務組'!X45+台北總務組!#REF!+'蘭陽'!X45</f>
        <v>#REF!</v>
      </c>
    </row>
    <row r="14" spans="1:22" ht="15.75" thickTop="1">
      <c r="A14" s="114" t="s">
        <v>93</v>
      </c>
      <c r="B14" s="115" t="e">
        <f aca="true" t="shared" si="1" ref="B14:V14">SUM(B2:B13)</f>
        <v>#REF!</v>
      </c>
      <c r="C14" s="115">
        <f t="shared" si="1"/>
        <v>19311</v>
      </c>
      <c r="D14" s="115">
        <f t="shared" si="1"/>
        <v>0</v>
      </c>
      <c r="E14" s="115">
        <f t="shared" si="1"/>
        <v>2032</v>
      </c>
      <c r="F14" s="115">
        <f t="shared" si="1"/>
        <v>2572</v>
      </c>
      <c r="G14" s="115">
        <f t="shared" si="1"/>
        <v>0</v>
      </c>
      <c r="H14" s="115">
        <f t="shared" si="1"/>
        <v>4743</v>
      </c>
      <c r="I14" s="115">
        <f t="shared" si="1"/>
        <v>1767</v>
      </c>
      <c r="J14" s="115">
        <f t="shared" si="1"/>
        <v>0</v>
      </c>
      <c r="K14" s="115">
        <f t="shared" si="1"/>
        <v>142</v>
      </c>
      <c r="L14" s="115">
        <f t="shared" si="1"/>
        <v>6456</v>
      </c>
      <c r="M14" s="115">
        <f t="shared" si="1"/>
        <v>0</v>
      </c>
      <c r="N14" s="115">
        <f t="shared" si="1"/>
        <v>880</v>
      </c>
      <c r="O14" s="115">
        <f t="shared" si="1"/>
        <v>0</v>
      </c>
      <c r="P14" s="115">
        <f t="shared" si="1"/>
        <v>44.832</v>
      </c>
      <c r="Q14" s="115">
        <f t="shared" si="1"/>
        <v>0</v>
      </c>
      <c r="R14" s="115">
        <f t="shared" si="1"/>
        <v>323</v>
      </c>
      <c r="S14" s="115">
        <f t="shared" si="1"/>
        <v>115</v>
      </c>
      <c r="T14" s="115">
        <f t="shared" si="1"/>
        <v>49.23</v>
      </c>
      <c r="U14" s="115">
        <f t="shared" si="1"/>
        <v>597.75</v>
      </c>
      <c r="V14" s="116" t="e">
        <f t="shared" si="1"/>
        <v>#REF!</v>
      </c>
    </row>
    <row r="15" spans="1:22" ht="30.75" thickBot="1">
      <c r="A15" s="117" t="s">
        <v>94</v>
      </c>
      <c r="B15" s="118" t="e">
        <f aca="true" t="shared" si="2" ref="B15:V15">B14/12</f>
        <v>#REF!</v>
      </c>
      <c r="C15" s="118">
        <f t="shared" si="2"/>
        <v>1609.25</v>
      </c>
      <c r="D15" s="118">
        <f t="shared" si="2"/>
        <v>0</v>
      </c>
      <c r="E15" s="118">
        <f t="shared" si="2"/>
        <v>169.33333333333334</v>
      </c>
      <c r="F15" s="118">
        <f t="shared" si="2"/>
        <v>214.33333333333334</v>
      </c>
      <c r="G15" s="118">
        <f t="shared" si="2"/>
        <v>0</v>
      </c>
      <c r="H15" s="118">
        <f t="shared" si="2"/>
        <v>395.25</v>
      </c>
      <c r="I15" s="118">
        <f t="shared" si="2"/>
        <v>147.25</v>
      </c>
      <c r="J15" s="118">
        <f t="shared" si="2"/>
        <v>0</v>
      </c>
      <c r="K15" s="118">
        <f t="shared" si="2"/>
        <v>11.833333333333334</v>
      </c>
      <c r="L15" s="118">
        <f t="shared" si="2"/>
        <v>538</v>
      </c>
      <c r="M15" s="118">
        <f t="shared" si="2"/>
        <v>0</v>
      </c>
      <c r="N15" s="118">
        <f t="shared" si="2"/>
        <v>73.33333333333333</v>
      </c>
      <c r="O15" s="118">
        <f t="shared" si="2"/>
        <v>0</v>
      </c>
      <c r="P15" s="118">
        <f t="shared" si="2"/>
        <v>3.736</v>
      </c>
      <c r="Q15" s="118">
        <f t="shared" si="2"/>
        <v>0</v>
      </c>
      <c r="R15" s="118">
        <f t="shared" si="2"/>
        <v>26.916666666666668</v>
      </c>
      <c r="S15" s="118">
        <f t="shared" si="2"/>
        <v>9.583333333333334</v>
      </c>
      <c r="T15" s="118">
        <f t="shared" si="2"/>
        <v>4.1025</v>
      </c>
      <c r="U15" s="118">
        <f t="shared" si="2"/>
        <v>49.8125</v>
      </c>
      <c r="V15" s="145" t="e">
        <f t="shared" si="2"/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V15"/>
  <sheetViews>
    <sheetView zoomScalePageLayoutView="0" workbookViewId="0" topLeftCell="A1">
      <selection activeCell="N11" sqref="N11"/>
    </sheetView>
  </sheetViews>
  <sheetFormatPr defaultColWidth="9.00390625" defaultRowHeight="16.5"/>
  <cols>
    <col min="1" max="1" width="4.75390625" style="139" customWidth="1"/>
    <col min="2" max="2" width="11.875" style="139" customWidth="1"/>
    <col min="3" max="3" width="7.00390625" style="139" customWidth="1"/>
    <col min="4" max="4" width="5.75390625" style="139" customWidth="1"/>
    <col min="5" max="5" width="7.375" style="139" customWidth="1"/>
    <col min="6" max="6" width="7.75390625" style="139" customWidth="1"/>
    <col min="7" max="7" width="5.75390625" style="139" customWidth="1"/>
    <col min="8" max="8" width="7.00390625" style="139" customWidth="1"/>
    <col min="9" max="9" width="6.625" style="139" customWidth="1"/>
    <col min="10" max="10" width="5.50390625" style="139" customWidth="1"/>
    <col min="11" max="11" width="6.00390625" style="139" customWidth="1"/>
    <col min="12" max="12" width="7.375" style="139" customWidth="1"/>
    <col min="13" max="13" width="4.00390625" style="139" customWidth="1"/>
    <col min="14" max="14" width="6.375" style="139" customWidth="1"/>
    <col min="15" max="15" width="4.375" style="139" customWidth="1"/>
    <col min="16" max="17" width="5.25390625" style="139" customWidth="1"/>
    <col min="18" max="18" width="6.125" style="139" customWidth="1"/>
    <col min="19" max="19" width="5.25390625" style="139" customWidth="1"/>
    <col min="20" max="20" width="3.875" style="139" customWidth="1"/>
    <col min="21" max="21" width="4.625" style="139" customWidth="1"/>
    <col min="22" max="16384" width="9.00390625" style="139" customWidth="1"/>
  </cols>
  <sheetData>
    <row r="1" spans="1:22" ht="60">
      <c r="A1" s="136" t="s">
        <v>108</v>
      </c>
      <c r="B1" s="137" t="s">
        <v>50</v>
      </c>
      <c r="C1" s="137" t="s">
        <v>2</v>
      </c>
      <c r="D1" s="137" t="s">
        <v>3</v>
      </c>
      <c r="E1" s="137" t="s">
        <v>4</v>
      </c>
      <c r="F1" s="137" t="s">
        <v>20</v>
      </c>
      <c r="G1" s="137" t="s">
        <v>36</v>
      </c>
      <c r="H1" s="137" t="s">
        <v>21</v>
      </c>
      <c r="I1" s="137" t="s">
        <v>22</v>
      </c>
      <c r="J1" s="137" t="s">
        <v>9</v>
      </c>
      <c r="K1" s="137" t="s">
        <v>10</v>
      </c>
      <c r="L1" s="137" t="s">
        <v>11</v>
      </c>
      <c r="M1" s="137" t="s">
        <v>12</v>
      </c>
      <c r="N1" s="137" t="s">
        <v>13</v>
      </c>
      <c r="O1" s="137" t="s">
        <v>14</v>
      </c>
      <c r="P1" s="137" t="s">
        <v>15</v>
      </c>
      <c r="Q1" s="137" t="s">
        <v>23</v>
      </c>
      <c r="R1" s="137" t="s">
        <v>60</v>
      </c>
      <c r="S1" s="137" t="s">
        <v>24</v>
      </c>
      <c r="T1" s="137" t="s">
        <v>25</v>
      </c>
      <c r="U1" s="137" t="s">
        <v>26</v>
      </c>
      <c r="V1" s="138" t="s">
        <v>49</v>
      </c>
    </row>
    <row r="2" spans="1:22" ht="15">
      <c r="A2" s="109">
        <v>1</v>
      </c>
      <c r="B2" s="163">
        <f aca="true" t="shared" si="0" ref="B2:B10">SUM(C2:U2)</f>
        <v>5428.66</v>
      </c>
      <c r="C2" s="165">
        <f>'AZ'!D46+'GM資產組'!D46+'GS事務組'!E46+'台北總務組'!E46+'蘭陽'!E46</f>
        <v>1240</v>
      </c>
      <c r="D2" s="165">
        <f>'AZ'!E46+'GM資產組'!E46+'GS事務組'!F46+'台北總務組'!F46+'蘭陽'!F46</f>
        <v>0</v>
      </c>
      <c r="E2" s="165">
        <f>'AZ'!F46+'GM資產組'!F46+'GS事務組'!G46+'台北總務組'!G46+'蘭陽'!G46</f>
        <v>141</v>
      </c>
      <c r="F2" s="165">
        <f>'AZ'!G46+'GM資產組'!G46+'GS事務組'!H46+'台北總務組'!H46+'蘭陽'!H46</f>
        <v>1854</v>
      </c>
      <c r="G2" s="165">
        <f>'AZ'!H46+'GM資產組'!H46+'GS事務組'!I46+'台北總務組'!I46+'蘭陽'!I46</f>
        <v>0</v>
      </c>
      <c r="H2" s="165">
        <f>'AZ'!I46+'GM資產組'!I46+'GS事務組'!J46+'台北總務組'!J46+'蘭陽'!J46</f>
        <v>180</v>
      </c>
      <c r="I2" s="165">
        <f>'AZ'!J46+'GM資產組'!J46+'GS事務組'!K46+'台北總務組'!K46+'蘭陽'!K46</f>
        <v>281</v>
      </c>
      <c r="J2" s="165">
        <f>'AZ'!K46+'GM資產組'!K46+'GS事務組'!L46+'台北總務組'!L46+'蘭陽'!L46</f>
        <v>0</v>
      </c>
      <c r="K2" s="165">
        <f>'AZ'!L46+'GM資產組'!L46+'GS事務組'!M46+'台北總務組'!M46+'蘭陽'!M46</f>
        <v>30</v>
      </c>
      <c r="L2" s="165">
        <f>'AZ'!M46+'GM資產組'!M46+'GS事務組'!N46+'台北總務組'!N46+'蘭陽'!N46</f>
        <v>1568</v>
      </c>
      <c r="M2" s="165">
        <f>'AZ'!N46+'GM資產組'!N46+'GS事務組'!O46+'台北總務組'!O46+'蘭陽'!O46</f>
        <v>0</v>
      </c>
      <c r="N2" s="165">
        <f>'AZ'!O46+'GM資產組'!O46+'GS事務組'!P46+'台北總務組'!P46+'蘭陽'!P46</f>
        <v>40</v>
      </c>
      <c r="O2" s="165">
        <f>'AZ'!P46+'GM資產組'!P46+'GS事務組'!Q46+'台北總務組'!Q46+'蘭陽'!Q46</f>
        <v>0</v>
      </c>
      <c r="P2" s="165">
        <f>'AZ'!Q46+'GM資產組'!Q46+'GS事務組'!R46+'台北總務組'!R46+'蘭陽'!R46</f>
        <v>10.16</v>
      </c>
      <c r="Q2" s="165">
        <f>'AZ'!R46+'GM資產組'!R46+'GS事務組'!S46+'台北總務組'!S46+'蘭陽'!S46</f>
        <v>0</v>
      </c>
      <c r="R2" s="165">
        <f>'AZ'!S46+'GM資產組'!S46+'GS事務組'!T46+'台北總務組'!T46+'蘭陽'!T46</f>
        <v>2</v>
      </c>
      <c r="S2" s="165">
        <f>'AZ'!T46+'GM資產組'!T46+'GS事務組'!U46+'台北總務組'!U46+'蘭陽'!U46</f>
        <v>7</v>
      </c>
      <c r="T2" s="165">
        <f>'AZ'!U46+'GM資產組'!U46+'GS事務組'!V46+'台北總務組'!V46+'蘭陽'!V46</f>
        <v>3</v>
      </c>
      <c r="U2" s="165">
        <f>'AZ'!V46+'GM資產組'!V46+'GS事務組'!W46+'台北總務組'!W46+'蘭陽'!W46</f>
        <v>72.5</v>
      </c>
      <c r="V2" s="166" t="e">
        <f>'AZ'!W46+'GM資產組'!W46+'GS事務組'!X46+台北總務組!#REF!+'蘭陽'!X46</f>
        <v>#REF!</v>
      </c>
    </row>
    <row r="3" spans="1:22" ht="15">
      <c r="A3" s="109">
        <v>2</v>
      </c>
      <c r="B3" s="163">
        <f t="shared" si="0"/>
        <v>3764.36</v>
      </c>
      <c r="C3" s="165">
        <f>'AZ'!D47+'GM資產組'!D47+'GS事務組'!E47+'台北總務組'!E47+'蘭陽'!E47</f>
        <v>1519</v>
      </c>
      <c r="D3" s="165">
        <f>'AZ'!E47+'GM資產組'!E47+'GS事務組'!F47+'台北總務組'!F47+'蘭陽'!F47</f>
        <v>0</v>
      </c>
      <c r="E3" s="165">
        <f>'AZ'!F47+'GM資產組'!F47+'GS事務組'!G47+'台北總務組'!G47+'蘭陽'!G47</f>
        <v>120.75</v>
      </c>
      <c r="F3" s="165">
        <f>'AZ'!G47+'GM資產組'!G47+'GS事務組'!H47+'台北總務組'!H47+'蘭陽'!H47</f>
        <v>724</v>
      </c>
      <c r="G3" s="165">
        <f>'AZ'!H47+'GM資產組'!H47+'GS事務組'!I47+'台北總務組'!I47+'蘭陽'!I47</f>
        <v>0</v>
      </c>
      <c r="H3" s="165">
        <f>'AZ'!I47+'GM資產組'!I47+'GS事務組'!J47+'台北總務組'!J47+'蘭陽'!J47</f>
        <v>179.3</v>
      </c>
      <c r="I3" s="165">
        <f>'AZ'!J47+'GM資產組'!J47+'GS事務組'!K47+'台北總務組'!K47+'蘭陽'!K47</f>
        <v>110.5</v>
      </c>
      <c r="J3" s="165">
        <f>'AZ'!K47+'GM資產組'!K47+'GS事務組'!L47+'台北總務組'!L47+'蘭陽'!L47</f>
        <v>0</v>
      </c>
      <c r="K3" s="165">
        <f>'AZ'!L47+'GM資產組'!L47+'GS事務組'!M47+'台北總務組'!M47+'蘭陽'!M47</f>
        <v>0</v>
      </c>
      <c r="L3" s="165">
        <f>'AZ'!M47+'GM資產組'!M47+'GS事務組'!N47+'台北總務組'!N47+'蘭陽'!N47</f>
        <v>972</v>
      </c>
      <c r="M3" s="165">
        <f>'AZ'!N47+'GM資產組'!N47+'GS事務組'!O47+'台北總務組'!O47+'蘭陽'!O47</f>
        <v>0</v>
      </c>
      <c r="N3" s="165">
        <f>'AZ'!O47+'GM資產組'!O47+'GS事務組'!P47+'台北總務組'!P47+'蘭陽'!P47</f>
        <v>84</v>
      </c>
      <c r="O3" s="165">
        <f>'AZ'!P47+'GM資產組'!P47+'GS事務組'!Q47+'台北總務組'!Q47+'蘭陽'!Q47</f>
        <v>0</v>
      </c>
      <c r="P3" s="165">
        <f>'AZ'!Q47+'GM資產組'!Q47+'GS事務組'!R47+'台北總務組'!R47+'蘭陽'!R47</f>
        <v>6.31</v>
      </c>
      <c r="Q3" s="165">
        <f>'AZ'!R47+'GM資產組'!R47+'GS事務組'!S47+'台北總務組'!S47+'蘭陽'!S47</f>
        <v>0</v>
      </c>
      <c r="R3" s="165">
        <f>'AZ'!S47+'GM資產組'!S47+'GS事務組'!T47+'台北總務組'!T47+'蘭陽'!T47</f>
        <v>2</v>
      </c>
      <c r="S3" s="165">
        <f>'AZ'!T47+'GM資產組'!T47+'GS事務組'!U47+'台北總務組'!U47+'蘭陽'!U47</f>
        <v>1</v>
      </c>
      <c r="T3" s="165">
        <f>'AZ'!U47+'GM資產組'!U47+'GS事務組'!V47+'台北總務組'!V47+'蘭陽'!V47</f>
        <v>4</v>
      </c>
      <c r="U3" s="165">
        <f>'AZ'!V47+'GM資產組'!V47+'GS事務組'!W47+'台北總務組'!W47+'蘭陽'!W47</f>
        <v>41.5</v>
      </c>
      <c r="V3" s="166" t="e">
        <f>'AZ'!W47+'GM資產組'!W47+'GS事務組'!X47+台北總務組!#REF!+'蘭陽'!X47</f>
        <v>#REF!</v>
      </c>
    </row>
    <row r="4" spans="1:22" ht="15">
      <c r="A4" s="109">
        <v>3</v>
      </c>
      <c r="B4" s="163">
        <f t="shared" si="0"/>
        <v>3923.37</v>
      </c>
      <c r="C4" s="165">
        <f>'AZ'!D48+'GM資產組'!D48+'GS事務組'!E48+'台北總務組'!E48+'蘭陽'!E48</f>
        <v>1834</v>
      </c>
      <c r="D4" s="165">
        <f>'AZ'!E48+'GM資產組'!E48+'GS事務組'!F48+'台北總務組'!F48+'蘭陽'!F48</f>
        <v>0</v>
      </c>
      <c r="E4" s="165">
        <f>'AZ'!F48+'GM資產組'!F48+'GS事務組'!G48+'台北總務組'!G48+'蘭陽'!G48</f>
        <v>129.3</v>
      </c>
      <c r="F4" s="165">
        <f>'AZ'!G48+'GM資產組'!G48+'GS事務組'!H48+'台北總務組'!H48+'蘭陽'!H48</f>
        <v>590</v>
      </c>
      <c r="G4" s="165">
        <f>'AZ'!H48+'GM資產組'!H48+'GS事務組'!I48+'台北總務組'!I48+'蘭陽'!I48</f>
        <v>0</v>
      </c>
      <c r="H4" s="165">
        <f>'AZ'!I48+'GM資產組'!I48+'GS事務組'!J48+'台北總務組'!J48+'蘭陽'!J48</f>
        <v>278</v>
      </c>
      <c r="I4" s="165">
        <f>'AZ'!J48+'GM資產組'!J48+'GS事務組'!K48+'台北總務組'!K48+'蘭陽'!K48</f>
        <v>112.6</v>
      </c>
      <c r="J4" s="165">
        <f>'AZ'!K48+'GM資產組'!K48+'GS事務組'!L48+'台北總務組'!L48+'蘭陽'!L48</f>
        <v>0</v>
      </c>
      <c r="K4" s="165">
        <f>'AZ'!L48+'GM資產組'!L48+'GS事務組'!M48+'台北總務組'!M48+'蘭陽'!M48</f>
        <v>48</v>
      </c>
      <c r="L4" s="165">
        <f>'AZ'!M48+'GM資產組'!M48+'GS事務組'!N48+'台北總務組'!N48+'蘭陽'!N48</f>
        <v>876</v>
      </c>
      <c r="M4" s="165">
        <f>'AZ'!N48+'GM資產組'!N48+'GS事務組'!O48+'台北總務組'!O48+'蘭陽'!O48</f>
        <v>0</v>
      </c>
      <c r="N4" s="165">
        <f>'AZ'!O48+'GM資產組'!O48+'GS事務組'!P48+'台北總務組'!P48+'蘭陽'!P48</f>
        <v>34</v>
      </c>
      <c r="O4" s="165">
        <f>'AZ'!P48+'GM資產組'!P48+'GS事務組'!Q48+'台北總務組'!Q48+'蘭陽'!Q48</f>
        <v>0</v>
      </c>
      <c r="P4" s="165">
        <f>'AZ'!Q48+'GM資產組'!Q48+'GS事務組'!R48+'台北總務組'!R48+'蘭陽'!R48</f>
        <v>0.27</v>
      </c>
      <c r="Q4" s="165">
        <f>'AZ'!R48+'GM資產組'!R48+'GS事務組'!S48+'台北總務組'!S48+'蘭陽'!S48</f>
        <v>0</v>
      </c>
      <c r="R4" s="165">
        <f>'AZ'!S48+'GM資產組'!S48+'GS事務組'!T48+'台北總務組'!T48+'蘭陽'!T48</f>
        <v>1</v>
      </c>
      <c r="S4" s="165">
        <f>'AZ'!T48+'GM資產組'!T48+'GS事務組'!U48+'台北總務組'!U48+'蘭陽'!U48</f>
        <v>1.2</v>
      </c>
      <c r="T4" s="165">
        <f>'AZ'!U48+'GM資產組'!U48+'GS事務組'!V48+'台北總務組'!V48+'蘭陽'!V48</f>
        <v>0</v>
      </c>
      <c r="U4" s="165">
        <f>'AZ'!V48+'GM資產組'!V48+'GS事務組'!W48+'台北總務組'!W48+'蘭陽'!W48</f>
        <v>19</v>
      </c>
      <c r="V4" s="166" t="e">
        <f>'AZ'!W48+'GM資產組'!W48+'GS事務組'!X48+台北總務組!#REF!+'蘭陽'!X48</f>
        <v>#REF!</v>
      </c>
    </row>
    <row r="5" spans="1:22" ht="15">
      <c r="A5" s="109">
        <v>4</v>
      </c>
      <c r="B5" s="163">
        <f t="shared" si="0"/>
        <v>2621.95</v>
      </c>
      <c r="C5" s="165">
        <f>'AZ'!D49+'GM資產組'!D49+'GS事務組'!E49+'台北總務組'!E49+'蘭陽'!E49</f>
        <v>1493</v>
      </c>
      <c r="D5" s="165">
        <f>'AZ'!E49+'GM資產組'!E49+'GS事務組'!F49+'台北總務組'!F49+'蘭陽'!F49</f>
        <v>0</v>
      </c>
      <c r="E5" s="165">
        <f>'AZ'!F49+'GM資產組'!F49+'GS事務組'!G49+'台北總務組'!G49+'蘭陽'!G49</f>
        <v>173.7</v>
      </c>
      <c r="F5" s="165">
        <f>'AZ'!G49+'GM資產組'!G49+'GS事務組'!H49+'台北總務組'!H49+'蘭陽'!H49</f>
        <v>400</v>
      </c>
      <c r="G5" s="165">
        <f>'AZ'!H49+'GM資產組'!H49+'GS事務組'!I49+'台北總務組'!I49+'蘭陽'!I49</f>
        <v>0</v>
      </c>
      <c r="H5" s="165">
        <f>'AZ'!I49+'GM資產組'!I49+'GS事務組'!J49+'台北總務組'!J49+'蘭陽'!J49</f>
        <v>279.5</v>
      </c>
      <c r="I5" s="165">
        <f>'AZ'!J49+'GM資產組'!J49+'GS事務組'!K49+'台北總務組'!K49+'蘭陽'!K49</f>
        <v>57.8</v>
      </c>
      <c r="J5" s="165">
        <f>'AZ'!K49+'GM資產組'!K49+'GS事務組'!L49+'台北總務組'!L49+'蘭陽'!L49</f>
        <v>0</v>
      </c>
      <c r="K5" s="165">
        <f>'AZ'!L49+'GM資產組'!L49+'GS事務組'!M49+'台北總務組'!M49+'蘭陽'!M49</f>
        <v>0</v>
      </c>
      <c r="L5" s="165">
        <f>'AZ'!M49+'GM資產組'!M49+'GS事務組'!N49+'台北總務組'!N49+'蘭陽'!N49</f>
        <v>0</v>
      </c>
      <c r="M5" s="165">
        <f>'AZ'!N49+'GM資產組'!N49+'GS事務組'!O49+'台北總務組'!O49+'蘭陽'!O49</f>
        <v>0</v>
      </c>
      <c r="N5" s="165">
        <f>'AZ'!O49+'GM資產組'!O49+'GS事務組'!P49+'台北總務組'!P49+'蘭陽'!P49</f>
        <v>33</v>
      </c>
      <c r="O5" s="165">
        <f>'AZ'!P49+'GM資產組'!P49+'GS事務組'!Q49+'台北總務組'!Q49+'蘭陽'!Q49</f>
        <v>0</v>
      </c>
      <c r="P5" s="165">
        <f>'AZ'!Q49+'GM資產組'!Q49+'GS事務組'!R49+'台北總務組'!R49+'蘭陽'!R49</f>
        <v>18.35</v>
      </c>
      <c r="Q5" s="165">
        <f>'AZ'!R49+'GM資產組'!R49+'GS事務組'!S49+'台北總務組'!S49+'蘭陽'!S49</f>
        <v>0</v>
      </c>
      <c r="R5" s="165">
        <f>'AZ'!S49+'GM資產組'!S49+'GS事務組'!T49+'台北總務組'!T49+'蘭陽'!T49</f>
        <v>52</v>
      </c>
      <c r="S5" s="165">
        <f>'AZ'!T49+'GM資產組'!T49+'GS事務組'!U49+'台北總務組'!U49+'蘭陽'!U49</f>
        <v>1.1</v>
      </c>
      <c r="T5" s="165">
        <f>'AZ'!U49+'GM資產組'!U49+'GS事務組'!V49+'台北總務組'!V49+'蘭陽'!V49</f>
        <v>8</v>
      </c>
      <c r="U5" s="165">
        <f>'AZ'!V49+'GM資產組'!V49+'GS事務組'!W49+'台北總務組'!W49+'蘭陽'!W49</f>
        <v>105.5</v>
      </c>
      <c r="V5" s="166" t="e">
        <f>'AZ'!W49+'GM資產組'!W49+'GS事務組'!X49+台北總務組!#REF!+'蘭陽'!X49</f>
        <v>#REF!</v>
      </c>
    </row>
    <row r="6" spans="1:22" ht="15">
      <c r="A6" s="109">
        <v>5</v>
      </c>
      <c r="B6" s="163">
        <f t="shared" si="0"/>
        <v>3168.06</v>
      </c>
      <c r="C6" s="165">
        <f>'AZ'!D50+'GM資產組'!D50+'GS事務組'!E50+'台北總務組'!E50+'蘭陽'!E50</f>
        <v>1932</v>
      </c>
      <c r="D6" s="165">
        <f>'AZ'!E50+'GM資產組'!E50+'GS事務組'!F50+'台北總務組'!F50+'蘭陽'!F50</f>
        <v>0</v>
      </c>
      <c r="E6" s="165">
        <f>'AZ'!F50+'GM資產組'!F50+'GS事務組'!G50+'台北總務組'!G50+'蘭陽'!G50</f>
        <v>179.1</v>
      </c>
      <c r="F6" s="165">
        <f>'AZ'!G50+'GM資產組'!G50+'GS事務組'!H50+'台北總務組'!H50+'蘭陽'!H50</f>
        <v>400</v>
      </c>
      <c r="G6" s="165">
        <f>'AZ'!H50+'GM資產組'!H50+'GS事務組'!I50+'台北總務組'!I50+'蘭陽'!I50</f>
        <v>0</v>
      </c>
      <c r="H6" s="165">
        <f>'AZ'!I50+'GM資產組'!I50+'GS事務組'!J50+'台北總務組'!J50+'蘭陽'!J50</f>
        <v>390.8</v>
      </c>
      <c r="I6" s="165">
        <f>'AZ'!J50+'GM資產組'!J50+'GS事務組'!K50+'台北總務組'!K50+'蘭陽'!K50</f>
        <v>145</v>
      </c>
      <c r="J6" s="165">
        <f>'AZ'!K50+'GM資產組'!K50+'GS事務組'!L50+'台北總務組'!L50+'蘭陽'!L50</f>
        <v>0</v>
      </c>
      <c r="K6" s="165">
        <f>'AZ'!L50+'GM資產組'!L50+'GS事務組'!M50+'台北總務組'!M50+'蘭陽'!M50</f>
        <v>0</v>
      </c>
      <c r="L6" s="165">
        <f>'AZ'!M50+'GM資產組'!M50+'GS事務組'!N50+'台北總務組'!N50+'蘭陽'!N50</f>
        <v>0</v>
      </c>
      <c r="M6" s="165">
        <f>'AZ'!N50+'GM資產組'!N50+'GS事務組'!O50+'台北總務組'!O50+'蘭陽'!O50</f>
        <v>0</v>
      </c>
      <c r="N6" s="165">
        <f>'AZ'!O50+'GM資產組'!O50+'GS事務組'!P50+'台北總務組'!P50+'蘭陽'!P50</f>
        <v>92</v>
      </c>
      <c r="O6" s="165">
        <f>'AZ'!P50+'GM資產組'!P50+'GS事務組'!Q50+'台北總務組'!Q50+'蘭陽'!Q50</f>
        <v>0</v>
      </c>
      <c r="P6" s="165">
        <f>'AZ'!Q50+'GM資產組'!Q50+'GS事務組'!R50+'台北總務組'!R50+'蘭陽'!R50</f>
        <v>0.46</v>
      </c>
      <c r="Q6" s="165">
        <f>'AZ'!R50+'GM資產組'!R50+'GS事務組'!S50+'台北總務組'!S50+'蘭陽'!S50</f>
        <v>0</v>
      </c>
      <c r="R6" s="165">
        <f>'AZ'!S50+'GM資產組'!S50+'GS事務組'!T50+'台北總務組'!T50+'蘭陽'!T50</f>
        <v>2</v>
      </c>
      <c r="S6" s="165">
        <f>'AZ'!T50+'GM資產組'!T50+'GS事務組'!U50+'台北總務組'!U50+'蘭陽'!U50</f>
        <v>1.2</v>
      </c>
      <c r="T6" s="165">
        <f>'AZ'!U50+'GM資產組'!U50+'GS事務組'!V50+'台北總務組'!V50+'蘭陽'!V50</f>
        <v>0</v>
      </c>
      <c r="U6" s="165">
        <f>'AZ'!V50+'GM資產組'!V50+'GS事務組'!W50+'台北總務組'!W50+'蘭陽'!W50</f>
        <v>25.5</v>
      </c>
      <c r="V6" s="166" t="e">
        <f>'AZ'!W50+'GM資產組'!W50+'GS事務組'!X50+台北總務組!#REF!+'蘭陽'!X50</f>
        <v>#REF!</v>
      </c>
    </row>
    <row r="7" spans="1:22" ht="15">
      <c r="A7" s="109">
        <v>6</v>
      </c>
      <c r="B7" s="163">
        <f t="shared" si="0"/>
        <v>6019.099999999999</v>
      </c>
      <c r="C7" s="165">
        <f>'AZ'!D51+'GM資產組'!D51+'GS事務組'!E51+'台北總務組'!E51+'蘭陽'!E51</f>
        <v>1811</v>
      </c>
      <c r="D7" s="165">
        <f>'AZ'!E51+'GM資產組'!E51+'GS事務組'!F51+'台北總務組'!F51+'蘭陽'!F51</f>
        <v>0</v>
      </c>
      <c r="E7" s="165">
        <f>'AZ'!F51+'GM資產組'!F51+'GS事務組'!G51+'台北總務組'!G51+'蘭陽'!G51</f>
        <v>275.7</v>
      </c>
      <c r="F7" s="165">
        <f>'AZ'!G51+'GM資產組'!G51+'GS事務組'!H51+'台北總務組'!H51+'蘭陽'!H51</f>
        <v>1192</v>
      </c>
      <c r="G7" s="165">
        <f>'AZ'!H51+'GM資產組'!H51+'GS事務組'!I51+'台北總務組'!I51+'蘭陽'!I51</f>
        <v>0</v>
      </c>
      <c r="H7" s="165">
        <f>'AZ'!I51+'GM資產組'!I51+'GS事務組'!J51+'台北總務組'!J51+'蘭陽'!J51</f>
        <v>411.5</v>
      </c>
      <c r="I7" s="165">
        <f>'AZ'!J51+'GM資產組'!J51+'GS事務組'!K51+'台北總務組'!K51+'蘭陽'!K51</f>
        <v>250.2</v>
      </c>
      <c r="J7" s="165">
        <f>'AZ'!K51+'GM資產組'!K51+'GS事務組'!L51+'台北總務組'!L51+'蘭陽'!L51</f>
        <v>0</v>
      </c>
      <c r="K7" s="165">
        <f>'AZ'!L51+'GM資產組'!L51+'GS事務組'!M51+'台北總務組'!M51+'蘭陽'!M51</f>
        <v>0</v>
      </c>
      <c r="L7" s="165">
        <f>'AZ'!M51+'GM資產組'!M51+'GS事務組'!N51+'台北總務組'!N51+'蘭陽'!N51</f>
        <v>1956</v>
      </c>
      <c r="M7" s="165">
        <f>'AZ'!N51+'GM資產組'!N51+'GS事務組'!O51+'台北總務組'!O51+'蘭陽'!O51</f>
        <v>0</v>
      </c>
      <c r="N7" s="165">
        <f>'AZ'!O51+'GM資產組'!O51+'GS事務組'!P51+'台北總務組'!P51+'蘭陽'!P51</f>
        <v>107</v>
      </c>
      <c r="O7" s="165">
        <f>'AZ'!P51+'GM資產組'!P51+'GS事務組'!Q51+'台北總務組'!Q51+'蘭陽'!Q51</f>
        <v>0</v>
      </c>
      <c r="P7" s="165">
        <f>'AZ'!Q51+'GM資產組'!Q51+'GS事務組'!R51+'台北總務組'!R51+'蘭陽'!R51</f>
        <v>0.7</v>
      </c>
      <c r="Q7" s="165">
        <f>'AZ'!R51+'GM資產組'!R51+'GS事務組'!S51+'台北總務組'!S51+'蘭陽'!S51</f>
        <v>0</v>
      </c>
      <c r="R7" s="165">
        <f>'AZ'!S51+'GM資產組'!S51+'GS事務組'!T51+'台北總務組'!T51+'蘭陽'!T51</f>
        <v>1.5</v>
      </c>
      <c r="S7" s="165">
        <f>'AZ'!T51+'GM資產組'!T51+'GS事務組'!U51+'台北總務組'!U51+'蘭陽'!U51</f>
        <v>1.5</v>
      </c>
      <c r="T7" s="165">
        <f>'AZ'!U51+'GM資產組'!U51+'GS事務組'!V51+'台北總務組'!V51+'蘭陽'!V51</f>
        <v>0</v>
      </c>
      <c r="U7" s="165">
        <f>'AZ'!V51+'GM資產組'!V51+'GS事務組'!W51+'台北總務組'!W51+'蘭陽'!W51</f>
        <v>12</v>
      </c>
      <c r="V7" s="166" t="e">
        <f>'AZ'!W51+'GM資產組'!W51+'GS事務組'!X51+台北總務組!#REF!+'蘭陽'!X51</f>
        <v>#REF!</v>
      </c>
    </row>
    <row r="8" spans="1:22" ht="15">
      <c r="A8" s="109">
        <v>7</v>
      </c>
      <c r="B8" s="163">
        <f t="shared" si="0"/>
        <v>1461.1</v>
      </c>
      <c r="C8" s="165">
        <f>'AZ'!D52+'GM資產組'!D52+'GS事務組'!E52+'台北總務組'!E52+'蘭陽'!E52</f>
        <v>963</v>
      </c>
      <c r="D8" s="165">
        <f>'AZ'!E52+'GM資產組'!E52+'GS事務組'!F52+'台北總務組'!F52+'蘭陽'!F52</f>
        <v>0</v>
      </c>
      <c r="E8" s="165">
        <f>'AZ'!F52+'GM資產組'!F52+'GS事務組'!G52+'台北總務組'!G52+'蘭陽'!G52</f>
        <v>64</v>
      </c>
      <c r="F8" s="165">
        <f>'AZ'!G52+'GM資產組'!G52+'GS事務組'!H52+'台北總務組'!H52+'蘭陽'!H52</f>
        <v>0</v>
      </c>
      <c r="G8" s="165">
        <f>'AZ'!H52+'GM資產組'!H52+'GS事務組'!I52+'台北總務組'!I52+'蘭陽'!I52</f>
        <v>0</v>
      </c>
      <c r="H8" s="165">
        <f>'AZ'!I52+'GM資產組'!I52+'GS事務組'!J52+'台北總務組'!J52+'蘭陽'!J52</f>
        <v>162</v>
      </c>
      <c r="I8" s="165">
        <f>'AZ'!J52+'GM資產組'!J52+'GS事務組'!K52+'台北總務組'!K52+'蘭陽'!K52</f>
        <v>66</v>
      </c>
      <c r="J8" s="165">
        <f>'AZ'!K52+'GM資產組'!K52+'GS事務組'!L52+'台北總務組'!L52+'蘭陽'!L52</f>
        <v>0</v>
      </c>
      <c r="K8" s="165">
        <f>'AZ'!L52+'GM資產組'!L52+'GS事務組'!M52+'台北總務組'!M52+'蘭陽'!M52</f>
        <v>0</v>
      </c>
      <c r="L8" s="165">
        <f>'AZ'!M52+'GM資產組'!M52+'GS事務組'!N52+'台北總務組'!N52+'蘭陽'!N52</f>
        <v>0</v>
      </c>
      <c r="M8" s="165">
        <f>'AZ'!N52+'GM資產組'!N52+'GS事務組'!O52+'台北總務組'!O52+'蘭陽'!O52</f>
        <v>0</v>
      </c>
      <c r="N8" s="165">
        <f>'AZ'!O52+'GM資產組'!O52+'GS事務組'!P52+'台北總務組'!P52+'蘭陽'!P52</f>
        <v>64</v>
      </c>
      <c r="O8" s="165">
        <f>'AZ'!P52+'GM資產組'!P52+'GS事務組'!Q52+'台北總務組'!Q52+'蘭陽'!Q52</f>
        <v>0</v>
      </c>
      <c r="P8" s="165">
        <f>'AZ'!Q52+'GM資產組'!Q52+'GS事務組'!R52+'台北總務組'!R52+'蘭陽'!R52</f>
        <v>6.1</v>
      </c>
      <c r="Q8" s="165">
        <f>'AZ'!R52+'GM資產組'!R52+'GS事務組'!S52+'台北總務組'!S52+'蘭陽'!S52</f>
        <v>0</v>
      </c>
      <c r="R8" s="165">
        <f>'AZ'!S52+'GM資產組'!S52+'GS事務組'!T52+'台北總務組'!T52+'蘭陽'!T52</f>
        <v>63.5</v>
      </c>
      <c r="S8" s="165">
        <f>'AZ'!T52+'GM資產組'!T52+'GS事務組'!U52+'台北總務組'!U52+'蘭陽'!U52</f>
        <v>1</v>
      </c>
      <c r="T8" s="165">
        <f>'AZ'!U52+'GM資產組'!U52+'GS事務組'!V52+'台北總務組'!V52+'蘭陽'!V52</f>
        <v>4</v>
      </c>
      <c r="U8" s="165">
        <f>'AZ'!V52+'GM資產組'!V52+'GS事務組'!W52+'台北總務組'!W52+'蘭陽'!W52</f>
        <v>67.5</v>
      </c>
      <c r="V8" s="166" t="e">
        <f>'AZ'!W52+'GM資產組'!W52+'GS事務組'!X52+台北總務組!#REF!+'蘭陽'!X52</f>
        <v>#REF!</v>
      </c>
    </row>
    <row r="9" spans="1:22" ht="15">
      <c r="A9" s="109">
        <v>8</v>
      </c>
      <c r="B9" s="163">
        <f t="shared" si="0"/>
        <v>1384.35</v>
      </c>
      <c r="C9" s="165">
        <f>'AZ'!D53+'GM資產組'!D53+'GS事務組'!E53+'台北總務組'!E53+'蘭陽'!E53</f>
        <v>978</v>
      </c>
      <c r="D9" s="165">
        <f>'AZ'!E53+'GM資產組'!E53+'GS事務組'!F53+'台北總務組'!F53+'蘭陽'!F53</f>
        <v>0</v>
      </c>
      <c r="E9" s="187">
        <f>'AZ'!F53+'GM資產組'!F53+'GS事務組'!G53+'台北總務組'!G53+'蘭陽'!G53</f>
        <v>84.7</v>
      </c>
      <c r="F9" s="165">
        <f>'AZ'!G53+'GM資產組'!G53+'GS事務組'!H53+'台北總務組'!H53+'蘭陽'!H53</f>
        <v>0</v>
      </c>
      <c r="G9" s="165">
        <f>'AZ'!H53+'GM資產組'!H53+'GS事務組'!I53+'台北總務組'!I53+'蘭陽'!I53</f>
        <v>0</v>
      </c>
      <c r="H9" s="187">
        <f>'AZ'!I53+'GM資產組'!I53+'GS事務組'!J53+'台北總務組'!J53+'蘭陽'!J53</f>
        <v>195.6</v>
      </c>
      <c r="I9" s="187">
        <f>'AZ'!J53+'GM資產組'!J53+'GS事務組'!K53+'台北總務組'!K53+'蘭陽'!K53</f>
        <v>35.9</v>
      </c>
      <c r="J9" s="165">
        <f>'AZ'!K53+'GM資產組'!K53+'GS事務組'!L53+'台北總務組'!L53+'蘭陽'!L53</f>
        <v>0</v>
      </c>
      <c r="K9" s="165">
        <f>'AZ'!L53+'GM資產組'!L53+'GS事務組'!M53+'台北總務組'!M53+'蘭陽'!M53</f>
        <v>0</v>
      </c>
      <c r="L9" s="165">
        <f>'AZ'!M53+'GM資產組'!M53+'GS事務組'!N53+'台北總務組'!N53+'蘭陽'!N53</f>
        <v>0</v>
      </c>
      <c r="M9" s="165">
        <f>'AZ'!N53+'GM資產組'!N53+'GS事務組'!O53+'台北總務組'!O53+'蘭陽'!O53</f>
        <v>0</v>
      </c>
      <c r="N9" s="187">
        <f>'AZ'!O53+'GM資產組'!O53+'GS事務組'!P53+'台北總務組'!P53+'蘭陽'!P53</f>
        <v>81</v>
      </c>
      <c r="O9" s="165">
        <f>'AZ'!P53+'GM資產組'!P53+'GS事務組'!Q53+'台北總務組'!Q53+'蘭陽'!Q53</f>
        <v>0</v>
      </c>
      <c r="P9" s="163">
        <f>'AZ'!Q53+'GM資產組'!Q53+'GS事務組'!R53+'台北總務組'!R53+'蘭陽'!R53</f>
        <v>0.55</v>
      </c>
      <c r="Q9" s="165">
        <f>'AZ'!R53+'GM資產組'!R53+'GS事務組'!S53+'台北總務組'!S53+'蘭陽'!S53</f>
        <v>0</v>
      </c>
      <c r="R9" s="187">
        <f>'AZ'!S53+'GM資產組'!S53+'GS事務組'!T53+'台北總務組'!T53+'蘭陽'!T53</f>
        <v>1</v>
      </c>
      <c r="S9" s="187">
        <f>'AZ'!T53+'GM資產組'!T53+'GS事務組'!U53+'台北總務組'!U53+'蘭陽'!U53</f>
        <v>1.6</v>
      </c>
      <c r="T9" s="165">
        <f>'AZ'!U53+'GM資產組'!U53+'GS事務組'!V53+'台北總務組'!V53+'蘭陽'!V53</f>
        <v>0</v>
      </c>
      <c r="U9" s="187">
        <f>'AZ'!V53+'GM資產組'!V53+'GS事務組'!W53+'台北總務組'!W53+'蘭陽'!W53</f>
        <v>6</v>
      </c>
      <c r="V9" s="166" t="e">
        <f>'AZ'!W53+'GM資產組'!W53+'GS事務組'!X53+台北總務組!#REF!+'蘭陽'!X53</f>
        <v>#REF!</v>
      </c>
    </row>
    <row r="10" spans="1:22" ht="15">
      <c r="A10" s="109">
        <v>9</v>
      </c>
      <c r="B10" s="163">
        <f t="shared" si="0"/>
        <v>2486.54</v>
      </c>
      <c r="C10" s="165">
        <v>1644</v>
      </c>
      <c r="D10" s="165">
        <f>'AZ'!E54+'GM資產組'!E54+'GS事務組'!F54+'台北總務組'!F54+'蘭陽'!F54</f>
        <v>0</v>
      </c>
      <c r="E10" s="165">
        <f>'AZ'!F54+'GM資產組'!F54+'GS事務組'!G54+'台北總務組'!G54+'蘭陽'!G54</f>
        <v>121.7</v>
      </c>
      <c r="F10" s="165">
        <f>'AZ'!G54+'GM資產組'!G54+'GS事務組'!H54+'台北總務組'!H54+'蘭陽'!H54</f>
        <v>0</v>
      </c>
      <c r="G10" s="165">
        <f>'AZ'!H54+'GM資產組'!H54+'GS事務組'!I54+'台北總務組'!I54+'蘭陽'!I54</f>
        <v>0</v>
      </c>
      <c r="H10" s="165">
        <f>'AZ'!I54+'GM資產組'!I54+'GS事務組'!J54+'台北總務組'!J54+'蘭陽'!J54</f>
        <v>352</v>
      </c>
      <c r="I10" s="165">
        <f>'AZ'!J54+'GM資產組'!J54+'GS事務組'!K54+'台北總務組'!K54+'蘭陽'!K54</f>
        <v>142.8</v>
      </c>
      <c r="J10" s="165">
        <f>'AZ'!K54+'GM資產組'!K54+'GS事務組'!L54+'台北總務組'!L54+'蘭陽'!L54</f>
        <v>0</v>
      </c>
      <c r="K10" s="165">
        <f>'AZ'!L54+'GM資產組'!L54+'GS事務組'!M54+'台北總務組'!M54+'蘭陽'!M54</f>
        <v>0</v>
      </c>
      <c r="L10" s="165">
        <f>'AZ'!M54+'GM資產組'!M54+'GS事務組'!N54+'台北總務組'!N54+'蘭陽'!N54</f>
        <v>0</v>
      </c>
      <c r="M10" s="165">
        <f>'AZ'!N54+'GM資產組'!N54+'GS事務組'!O54+'台北總務組'!O54+'蘭陽'!O54</f>
        <v>0</v>
      </c>
      <c r="N10" s="165">
        <f>'AZ'!O54+'GM資產組'!O54+'GS事務組'!P54+'台北總務組'!P54+'蘭陽'!P54</f>
        <v>153</v>
      </c>
      <c r="O10" s="165">
        <f>'AZ'!P54+'GM資產組'!P54+'GS事務組'!Q54+'台北總務組'!Q54+'蘭陽'!Q54</f>
        <v>0</v>
      </c>
      <c r="P10" s="163">
        <f>'AZ'!Q54+'GM資產組'!Q54+'GS事務組'!R54+'台北總務組'!R54+'蘭陽'!R54</f>
        <v>0.34</v>
      </c>
      <c r="Q10" s="165">
        <f>'AZ'!R54+'GM資產組'!R54+'GS事務組'!S54+'台北總務組'!S54+'蘭陽'!S54</f>
        <v>0</v>
      </c>
      <c r="R10" s="187">
        <f>'AZ'!S54+'GM資產組'!S54+'GS事務組'!T54+'台北總務組'!T54+'蘭陽'!T54</f>
        <v>1.5</v>
      </c>
      <c r="S10" s="187">
        <f>'AZ'!T54+'GM資產組'!T54+'GS事務組'!U54+'台北總務組'!U54+'蘭陽'!U54</f>
        <v>1.7</v>
      </c>
      <c r="T10" s="165">
        <f>'AZ'!U54+'GM資產組'!U54+'GS事務組'!V54+'台北總務組'!V54+'蘭陽'!V54</f>
        <v>1</v>
      </c>
      <c r="U10" s="165">
        <f>'AZ'!V54+'GM資產組'!V54+'GS事務組'!W54+'台北總務組'!W54+'蘭陽'!W54</f>
        <v>68.5</v>
      </c>
      <c r="V10" s="166" t="e">
        <f>'AZ'!W54+'GM資產組'!W54+'GS事務組'!X54+台北總務組!#REF!+'蘭陽'!X54</f>
        <v>#REF!</v>
      </c>
    </row>
    <row r="11" spans="1:22" ht="15">
      <c r="A11" s="109">
        <v>10</v>
      </c>
      <c r="B11" s="163">
        <f>SUM(C11:U11)</f>
        <v>9704.560000000001</v>
      </c>
      <c r="C11" s="165">
        <f>'AZ'!D55+'GM資產組'!D55+'GS事務組'!E55+'台北總務組'!E55+'蘭陽'!E55</f>
        <v>1880</v>
      </c>
      <c r="D11" s="165">
        <f>'AZ'!E55+'GM資產組'!E55+'GS事務組'!F55+'台北總務組'!F55+'蘭陽'!F55</f>
        <v>0</v>
      </c>
      <c r="E11" s="165">
        <f>'AZ'!F55+'GM資產組'!F55+'GS事務組'!G55+'台北總務組'!G55+'蘭陽'!G55</f>
        <v>183.8</v>
      </c>
      <c r="F11" s="165">
        <f>'AZ'!G55+'GM資產組'!G55+'GS事務組'!H55+'台北總務組'!H55+'蘭陽'!H55</f>
        <v>2500</v>
      </c>
      <c r="G11" s="165">
        <f>'AZ'!H55+'GM資產組'!H55+'GS事務組'!I55+'台北總務組'!I55+'蘭陽'!I55</f>
        <v>0</v>
      </c>
      <c r="H11" s="165">
        <f>'AZ'!I55+'GM資產組'!I55+'GS事務組'!J55+'台北總務組'!J55+'蘭陽'!J55</f>
        <v>520.6</v>
      </c>
      <c r="I11" s="165">
        <f>'AZ'!J55+'GM資產組'!J55+'GS事務組'!K55+'台北總務組'!K55+'蘭陽'!K55</f>
        <v>140</v>
      </c>
      <c r="J11" s="165">
        <f>'AZ'!K55+'GM資產組'!K55+'GS事務組'!L55+'台北總務組'!L55+'蘭陽'!L55</f>
        <v>0</v>
      </c>
      <c r="K11" s="165">
        <f>'AZ'!L55+'GM資產組'!L55+'GS事務組'!M55+'台北總務組'!M55+'蘭陽'!M55</f>
        <v>0</v>
      </c>
      <c r="L11" s="165">
        <f>'AZ'!M55+'GM資產組'!M55+'GS事務組'!N55+'台北總務組'!N55+'蘭陽'!N55</f>
        <v>4272</v>
      </c>
      <c r="M11" s="165">
        <f>'AZ'!N55+'GM資產組'!N55+'GS事務組'!O55+'台北總務組'!O55+'蘭陽'!O55</f>
        <v>0</v>
      </c>
      <c r="N11" s="165">
        <f>'AZ'!O55+'GM資產組'!O55+'GS事務組'!P55+'台北總務組'!P55+'蘭陽'!P55</f>
        <v>190</v>
      </c>
      <c r="O11" s="165">
        <f>'AZ'!P55+'GM資產組'!P55+'GS事務組'!Q55+'台北總務組'!Q55+'蘭陽'!Q55</f>
        <v>0</v>
      </c>
      <c r="P11" s="163">
        <f>'AZ'!Q55+'GM資產組'!Q55+'GS事務組'!R55+'台北總務組'!R55+'蘭陽'!R55</f>
        <v>0.46</v>
      </c>
      <c r="Q11" s="165">
        <f>'AZ'!R55+'GM資產組'!R55+'GS事務組'!S55+'台北總務組'!S55+'蘭陽'!S55</f>
        <v>0</v>
      </c>
      <c r="R11" s="187">
        <f>'AZ'!S55+'GM資產組'!S55+'GS事務組'!T55+'台北總務組'!T55+'蘭陽'!T55</f>
        <v>1</v>
      </c>
      <c r="S11" s="187">
        <f>'AZ'!T55+'GM資產組'!T55+'GS事務組'!U55+'台北總務組'!U55+'蘭陽'!U55</f>
        <v>0.7</v>
      </c>
      <c r="T11" s="165">
        <f>'AZ'!U55+'GM資產組'!U55+'GS事務組'!V55+'台北總務組'!V55+'蘭陽'!V55</f>
        <v>0</v>
      </c>
      <c r="U11" s="165">
        <f>'AZ'!V55+'GM資產組'!V55+'GS事務組'!W55+'台北總務組'!W55+'蘭陽'!W55</f>
        <v>16</v>
      </c>
      <c r="V11" s="166" t="e">
        <f>'AZ'!W55+'GM資產組'!W55+'GS事務組'!X55+台北總務組!#REF!+'蘭陽'!X55</f>
        <v>#REF!</v>
      </c>
    </row>
    <row r="12" spans="1:22" ht="15">
      <c r="A12" s="109">
        <v>11</v>
      </c>
      <c r="B12" s="163">
        <f>SUM(C12:U12)</f>
        <v>2564.3</v>
      </c>
      <c r="C12" s="165">
        <f>'AZ'!D56+'GM資產組'!D56+'GS事務組'!E56+'台北總務組'!E56+'蘭陽'!E56</f>
        <v>1794.7</v>
      </c>
      <c r="D12" s="165">
        <f>'AZ'!E56+'GM資產組'!E56+'GS事務組'!F56+'台北總務組'!F56+'蘭陽'!F56</f>
        <v>0</v>
      </c>
      <c r="E12" s="165">
        <f>'AZ'!F56+'GM資產組'!F56+'GS事務組'!G56+'台北總務組'!G56+'蘭陽'!G56</f>
        <v>183.6</v>
      </c>
      <c r="F12" s="165">
        <f>'AZ'!G56+'GM資產組'!G56+'GS事務組'!H56+'台北總務組'!H56+'蘭陽'!H56</f>
        <v>0</v>
      </c>
      <c r="G12" s="165">
        <f>'AZ'!H56+'GM資產組'!H56+'GS事務組'!I56+'台北總務組'!I56+'蘭陽'!I56</f>
        <v>0</v>
      </c>
      <c r="H12" s="165">
        <f>'AZ'!I56+'GM資產組'!I56+'GS事務組'!J56+'台北總務組'!J56+'蘭陽'!J56</f>
        <v>271</v>
      </c>
      <c r="I12" s="165">
        <f>'AZ'!J56+'GM資產組'!J56+'GS事務組'!K56+'台北總務組'!K56+'蘭陽'!K56</f>
        <v>132.2</v>
      </c>
      <c r="J12" s="165">
        <f>'AZ'!K56+'GM資產組'!K56+'GS事務組'!L56+'台北總務組'!L56+'蘭陽'!L56</f>
        <v>0</v>
      </c>
      <c r="K12" s="165">
        <f>'AZ'!L56+'GM資產組'!L56+'GS事務組'!M56+'台北總務組'!M56+'蘭陽'!M56</f>
        <v>0</v>
      </c>
      <c r="L12" s="165">
        <f>'AZ'!M56+'GM資產組'!M56+'GS事務組'!N56+'台北總務組'!N56+'蘭陽'!N56</f>
        <v>0</v>
      </c>
      <c r="M12" s="165">
        <f>'AZ'!N56+'GM資產組'!N56+'GS事務組'!O56+'台北總務組'!O56+'蘭陽'!O56</f>
        <v>0</v>
      </c>
      <c r="N12" s="165">
        <f>'AZ'!O56+'GM資產組'!O56+'GS事務組'!P56+'台北總務組'!P56+'蘭陽'!P56</f>
        <v>161.4</v>
      </c>
      <c r="O12" s="165">
        <f>'AZ'!P56+'GM資產組'!P56+'GS事務組'!Q56+'台北總務組'!Q56+'蘭陽'!Q56</f>
        <v>0</v>
      </c>
      <c r="P12" s="163">
        <f>'AZ'!Q56+'GM資產組'!Q56+'GS事務組'!R56+'台北總務組'!R56+'蘭陽'!R56</f>
        <v>0.4</v>
      </c>
      <c r="Q12" s="165">
        <f>'AZ'!R56+'GM資產組'!R56+'GS事務組'!S56+'台北總務組'!S56+'蘭陽'!S56</f>
        <v>0</v>
      </c>
      <c r="R12" s="187">
        <f>'AZ'!S56+'GM資產組'!S56+'GS事務組'!T56+'台北總務組'!T56+'蘭陽'!T56</f>
        <v>2</v>
      </c>
      <c r="S12" s="187">
        <f>'AZ'!T56+'GM資產組'!T56+'GS事務組'!U56+'台北總務組'!U56+'蘭陽'!U56</f>
        <v>1</v>
      </c>
      <c r="T12" s="165">
        <f>'AZ'!U56+'GM資產組'!U56+'GS事務組'!V56+'台北總務組'!V56+'蘭陽'!V56</f>
        <v>0</v>
      </c>
      <c r="U12" s="165">
        <f>'AZ'!V56+'GM資產組'!V56+'GS事務組'!W56+'台北總務組'!W56+'蘭陽'!W56</f>
        <v>18</v>
      </c>
      <c r="V12" s="166" t="e">
        <f>'AZ'!W56+'GM資產組'!W56+'GS事務組'!X56+台北總務組!#REF!+'蘭陽'!X56</f>
        <v>#REF!</v>
      </c>
    </row>
    <row r="13" spans="1:22" ht="15.75" thickBot="1">
      <c r="A13" s="113">
        <v>12</v>
      </c>
      <c r="B13" s="163">
        <f>SUM(C13:U13)</f>
        <v>2861.4500000000003</v>
      </c>
      <c r="C13" s="165">
        <f>'AZ'!D57+'GM資產組'!D57+'GS事務組'!E57+'台北總務組'!E57+'蘭陽'!E57</f>
        <v>1798.1</v>
      </c>
      <c r="D13" s="165">
        <f>'AZ'!E57+'GM資產組'!E57+'GS事務組'!F57+'台北總務組'!F57+'蘭陽'!F57</f>
        <v>0</v>
      </c>
      <c r="E13" s="165">
        <f>'AZ'!F57+'GM資產組'!F57+'GS事務組'!G57+'台北總務組'!G57+'蘭陽'!G57</f>
        <v>209.39999999999998</v>
      </c>
      <c r="F13" s="165">
        <f>'AZ'!G57+'GM資產組'!G57+'GS事務組'!H57+'台北總務組'!H57+'蘭陽'!H57</f>
        <v>0</v>
      </c>
      <c r="G13" s="165">
        <f>'AZ'!H57+'GM資產組'!H57+'GS事務組'!I57+'台北總務組'!I57+'蘭陽'!I57</f>
        <v>0</v>
      </c>
      <c r="H13" s="165">
        <f>'AZ'!I57+'GM資產組'!I57+'GS事務組'!J57+'台北總務組'!J57+'蘭陽'!J57</f>
        <v>496.7</v>
      </c>
      <c r="I13" s="165">
        <f>'AZ'!J57+'GM資產組'!J57+'GS事務組'!K57+'台北總務組'!K57+'蘭陽'!K57</f>
        <v>126.8</v>
      </c>
      <c r="J13" s="165">
        <f>'AZ'!K57+'GM資產組'!K57+'GS事務組'!L57+'台北總務組'!L57+'蘭陽'!L57</f>
        <v>0</v>
      </c>
      <c r="K13" s="165">
        <f>'AZ'!L57+'GM資產組'!L57+'GS事務組'!M57+'台北總務組'!M57+'蘭陽'!M57</f>
        <v>0</v>
      </c>
      <c r="L13" s="165">
        <f>'AZ'!M57+'GM資產組'!M57+'GS事務組'!N57+'台北總務組'!N57+'蘭陽'!N57</f>
        <v>0</v>
      </c>
      <c r="M13" s="165">
        <f>'AZ'!N57+'GM資產組'!N57+'GS事務組'!O57+'台北總務組'!O57+'蘭陽'!O57</f>
        <v>0</v>
      </c>
      <c r="N13" s="165">
        <f>'AZ'!O57+'GM資產組'!O57+'GS事務組'!P57+'台北總務組'!P57+'蘭陽'!P57</f>
        <v>218.5</v>
      </c>
      <c r="O13" s="165">
        <f>'AZ'!P57+'GM資產組'!P57+'GS事務組'!Q57+'台北總務組'!Q57+'蘭陽'!Q57</f>
        <v>0</v>
      </c>
      <c r="P13" s="163">
        <f>'AZ'!Q57+'GM資產組'!Q57+'GS事務組'!R57+'台北總務組'!R57+'蘭陽'!R57</f>
        <v>0.15</v>
      </c>
      <c r="Q13" s="165">
        <f>'AZ'!R57+'GM資產組'!R57+'GS事務組'!S57+'台北總務組'!S57+'蘭陽'!S57</f>
        <v>0</v>
      </c>
      <c r="R13" s="187">
        <f>'AZ'!S57+'GM資產組'!S57+'GS事務組'!T57+'台北總務組'!T57+'蘭陽'!T57</f>
        <v>1.5</v>
      </c>
      <c r="S13" s="187">
        <f>'AZ'!T57+'GM資產組'!T57+'GS事務組'!U57+'台北總務組'!U57+'蘭陽'!U57</f>
        <v>1.3</v>
      </c>
      <c r="T13" s="165">
        <f>'AZ'!U57+'GM資產組'!U57+'GS事務組'!V57+'台北總務組'!V57+'蘭陽'!V57</f>
        <v>0</v>
      </c>
      <c r="U13" s="165">
        <f>'AZ'!V57+'GM資產組'!V57+'GS事務組'!W57+'台北總務組'!W57+'蘭陽'!W57</f>
        <v>9</v>
      </c>
      <c r="V13" s="166" t="e">
        <f>'AZ'!W57+'GM資產組'!W57+'GS事務組'!X57+台北總務組!#REF!+'蘭陽'!X57</f>
        <v>#REF!</v>
      </c>
    </row>
    <row r="14" spans="1:22" ht="15.75" thickTop="1">
      <c r="A14" s="114" t="s">
        <v>27</v>
      </c>
      <c r="B14" s="164">
        <f aca="true" t="shared" si="1" ref="B14:V14">SUM(B2:B13)</f>
        <v>45387.8</v>
      </c>
      <c r="C14" s="167">
        <f t="shared" si="1"/>
        <v>18886.8</v>
      </c>
      <c r="D14" s="167">
        <f t="shared" si="1"/>
        <v>0</v>
      </c>
      <c r="E14" s="167">
        <f t="shared" si="1"/>
        <v>1866.75</v>
      </c>
      <c r="F14" s="167">
        <f t="shared" si="1"/>
        <v>7660</v>
      </c>
      <c r="G14" s="167">
        <f t="shared" si="1"/>
        <v>0</v>
      </c>
      <c r="H14" s="167">
        <f t="shared" si="1"/>
        <v>3716.9999999999995</v>
      </c>
      <c r="I14" s="167">
        <f t="shared" si="1"/>
        <v>1600.8</v>
      </c>
      <c r="J14" s="167">
        <f t="shared" si="1"/>
        <v>0</v>
      </c>
      <c r="K14" s="167">
        <f t="shared" si="1"/>
        <v>78</v>
      </c>
      <c r="L14" s="167">
        <f t="shared" si="1"/>
        <v>9644</v>
      </c>
      <c r="M14" s="167">
        <f t="shared" si="1"/>
        <v>0</v>
      </c>
      <c r="N14" s="167">
        <f t="shared" si="1"/>
        <v>1257.9</v>
      </c>
      <c r="O14" s="167">
        <f t="shared" si="1"/>
        <v>0</v>
      </c>
      <c r="P14" s="167">
        <f t="shared" si="1"/>
        <v>44.25000000000001</v>
      </c>
      <c r="Q14" s="167">
        <f t="shared" si="1"/>
        <v>0</v>
      </c>
      <c r="R14" s="167">
        <f t="shared" si="1"/>
        <v>131</v>
      </c>
      <c r="S14" s="167">
        <f t="shared" si="1"/>
        <v>20.299999999999997</v>
      </c>
      <c r="T14" s="167">
        <f t="shared" si="1"/>
        <v>20</v>
      </c>
      <c r="U14" s="167">
        <f t="shared" si="1"/>
        <v>461</v>
      </c>
      <c r="V14" s="168" t="e">
        <f t="shared" si="1"/>
        <v>#REF!</v>
      </c>
    </row>
    <row r="15" spans="1:22" ht="30.75" thickBot="1">
      <c r="A15" s="117" t="s">
        <v>48</v>
      </c>
      <c r="B15" s="169">
        <f aca="true" t="shared" si="2" ref="B15:V15">B14/12</f>
        <v>3782.316666666667</v>
      </c>
      <c r="C15" s="169">
        <f t="shared" si="2"/>
        <v>1573.8999999999999</v>
      </c>
      <c r="D15" s="169">
        <f t="shared" si="2"/>
        <v>0</v>
      </c>
      <c r="E15" s="169">
        <f t="shared" si="2"/>
        <v>155.5625</v>
      </c>
      <c r="F15" s="169">
        <f t="shared" si="2"/>
        <v>638.3333333333334</v>
      </c>
      <c r="G15" s="169">
        <f t="shared" si="2"/>
        <v>0</v>
      </c>
      <c r="H15" s="169">
        <f t="shared" si="2"/>
        <v>309.74999999999994</v>
      </c>
      <c r="I15" s="169">
        <f t="shared" si="2"/>
        <v>133.4</v>
      </c>
      <c r="J15" s="169">
        <f t="shared" si="2"/>
        <v>0</v>
      </c>
      <c r="K15" s="169">
        <f t="shared" si="2"/>
        <v>6.5</v>
      </c>
      <c r="L15" s="169">
        <f t="shared" si="2"/>
        <v>803.6666666666666</v>
      </c>
      <c r="M15" s="169">
        <f t="shared" si="2"/>
        <v>0</v>
      </c>
      <c r="N15" s="169">
        <f t="shared" si="2"/>
        <v>104.825</v>
      </c>
      <c r="O15" s="169">
        <f t="shared" si="2"/>
        <v>0</v>
      </c>
      <c r="P15" s="169">
        <f t="shared" si="2"/>
        <v>3.6875000000000004</v>
      </c>
      <c r="Q15" s="169">
        <f t="shared" si="2"/>
        <v>0</v>
      </c>
      <c r="R15" s="169">
        <f t="shared" si="2"/>
        <v>10.916666666666666</v>
      </c>
      <c r="S15" s="169">
        <f t="shared" si="2"/>
        <v>1.6916666666666664</v>
      </c>
      <c r="T15" s="169">
        <f t="shared" si="2"/>
        <v>1.6666666666666667</v>
      </c>
      <c r="U15" s="169">
        <f t="shared" si="2"/>
        <v>38.416666666666664</v>
      </c>
      <c r="V15" s="170" t="e">
        <f t="shared" si="2"/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V15"/>
  <sheetViews>
    <sheetView zoomScalePageLayoutView="0" workbookViewId="0" topLeftCell="A1">
      <selection activeCell="B10" sqref="B10"/>
    </sheetView>
  </sheetViews>
  <sheetFormatPr defaultColWidth="9.00390625" defaultRowHeight="16.5"/>
  <sheetData>
    <row r="1" spans="1:22" ht="60">
      <c r="A1" s="136" t="s">
        <v>125</v>
      </c>
      <c r="B1" s="137" t="s">
        <v>50</v>
      </c>
      <c r="C1" s="137" t="s">
        <v>2</v>
      </c>
      <c r="D1" s="137" t="s">
        <v>3</v>
      </c>
      <c r="E1" s="137" t="s">
        <v>4</v>
      </c>
      <c r="F1" s="137" t="s">
        <v>20</v>
      </c>
      <c r="G1" s="137" t="s">
        <v>36</v>
      </c>
      <c r="H1" s="137" t="s">
        <v>21</v>
      </c>
      <c r="I1" s="137" t="s">
        <v>22</v>
      </c>
      <c r="J1" s="137" t="s">
        <v>9</v>
      </c>
      <c r="K1" s="137" t="s">
        <v>10</v>
      </c>
      <c r="L1" s="137" t="s">
        <v>11</v>
      </c>
      <c r="M1" s="137" t="s">
        <v>12</v>
      </c>
      <c r="N1" s="137" t="s">
        <v>13</v>
      </c>
      <c r="O1" s="137" t="s">
        <v>14</v>
      </c>
      <c r="P1" s="137" t="s">
        <v>15</v>
      </c>
      <c r="Q1" s="137" t="s">
        <v>23</v>
      </c>
      <c r="R1" s="137" t="s">
        <v>60</v>
      </c>
      <c r="S1" s="137" t="s">
        <v>24</v>
      </c>
      <c r="T1" s="137" t="s">
        <v>25</v>
      </c>
      <c r="U1" s="137" t="s">
        <v>26</v>
      </c>
      <c r="V1" s="138" t="s">
        <v>49</v>
      </c>
    </row>
    <row r="2" spans="1:22" ht="16.5">
      <c r="A2" s="109">
        <v>1</v>
      </c>
      <c r="B2" s="163">
        <f>SUM(C2:U2)</f>
        <v>7885.900000000001</v>
      </c>
      <c r="C2" s="165">
        <f>'AZ'!D58+'GM資產組'!D58+'GS事務組'!E58+'台北總務組'!E58+'蘭陽'!E58</f>
        <v>3123.5</v>
      </c>
      <c r="D2" s="165">
        <f>'AZ'!E58+'GM資產組'!E58+'GS事務組'!F58+'台北總務組'!F58+'蘭陽'!F58</f>
        <v>0</v>
      </c>
      <c r="E2" s="165">
        <f>'AZ'!F58+'GM資產組'!F58+'GS事務組'!G58+'台北總務組'!G58+'蘭陽'!G58</f>
        <v>155.5</v>
      </c>
      <c r="F2" s="165">
        <f>'AZ'!G58+'GM資產組'!G58+'GS事務組'!H58+'台北總務組'!H58+'蘭陽'!H58</f>
        <v>1165</v>
      </c>
      <c r="G2" s="165">
        <f>'AZ'!H58+'GM資產組'!H58+'GS事務組'!I58+'台北總務組'!I58+'蘭陽'!I58</f>
        <v>0</v>
      </c>
      <c r="H2" s="165">
        <f>'AZ'!I58+'GM資產組'!I58+'GS事務組'!J58+'台北總務組'!J58+'蘭陽'!J58</f>
        <v>332.8</v>
      </c>
      <c r="I2" s="165">
        <f>'AZ'!J58+'GM資產組'!J58+'GS事務組'!K58+'台北總務組'!K58+'蘭陽'!K58</f>
        <v>129</v>
      </c>
      <c r="J2" s="165">
        <f>'AZ'!K58+'GM資產組'!K58+'GS事務組'!L58+'台北總務組'!L58+'蘭陽'!L58</f>
        <v>0</v>
      </c>
      <c r="K2" s="165">
        <f>'AZ'!L58+'GM資產組'!L58+'GS事務組'!M58+'台北總務組'!M58+'蘭陽'!M58</f>
        <v>17</v>
      </c>
      <c r="L2" s="165">
        <f>'AZ'!M58+'GM資產組'!M58+'GS事務組'!N58+'台北總務組'!N58+'蘭陽'!N58</f>
        <v>2796</v>
      </c>
      <c r="M2" s="165">
        <f>'AZ'!N58+'GM資產組'!N58+'GS事務組'!O58+'台北總務組'!O58+'蘭陽'!O58</f>
        <v>0</v>
      </c>
      <c r="N2" s="165">
        <f>'AZ'!O58+'GM資產組'!O58+'GS事務組'!P58+'台北總務組'!P58+'蘭陽'!P58</f>
        <v>157.4</v>
      </c>
      <c r="O2" s="165">
        <f>'AZ'!P58+'GM資產組'!P58+'GS事務組'!Q58+'台北總務組'!Q58+'蘭陽'!Q58</f>
        <v>0</v>
      </c>
      <c r="P2" s="165">
        <f>'AZ'!Q58+'GM資產組'!Q58+'GS事務組'!R58+'台北總務組'!R58+'蘭陽'!R58</f>
        <v>1.1</v>
      </c>
      <c r="Q2" s="165">
        <f>'AZ'!R58+'GM資產組'!R58+'GS事務組'!S58+'台北總務組'!S58+'蘭陽'!S58</f>
        <v>0</v>
      </c>
      <c r="R2" s="165">
        <f>'AZ'!S58+'GM資產組'!S58+'GS事務組'!T58+'台北總務組'!T58+'蘭陽'!T58</f>
        <v>1</v>
      </c>
      <c r="S2" s="165">
        <f>'AZ'!T58+'GM資產組'!T58+'GS事務組'!U58+'台北總務組'!U58+'蘭陽'!U58</f>
        <v>0.6</v>
      </c>
      <c r="T2" s="165">
        <f>'AZ'!U58+'GM資產組'!U58+'GS事務組'!V58+'台北總務組'!V58+'蘭陽'!V58</f>
        <v>0</v>
      </c>
      <c r="U2" s="165">
        <f>'AZ'!V58+'GM資產組'!V58+'GS事務組'!W58+'台北總務組'!W58+'蘭陽'!W58</f>
        <v>7</v>
      </c>
      <c r="V2" s="165" t="e">
        <f>'AZ'!W58+'GM資產組'!W58+'GS事務組'!X58+台北總務組!#REF!+'蘭陽'!X58</f>
        <v>#REF!</v>
      </c>
    </row>
    <row r="3" spans="1:22" ht="16.5">
      <c r="A3" s="109">
        <v>2</v>
      </c>
      <c r="B3" s="163">
        <f aca="true" t="shared" si="0" ref="B3:B13">SUM(C3:U3)</f>
        <v>1307.6999999999998</v>
      </c>
      <c r="C3" s="165">
        <f>'AZ'!D59+'GM資產組'!D59+'GS事務組'!E59+'台北總務組'!E59+'蘭陽'!E59</f>
        <v>891</v>
      </c>
      <c r="D3" s="165">
        <f>'AZ'!E59+'GM資產組'!E59+'GS事務組'!F59+'台北總務組'!F59+'蘭陽'!F59</f>
        <v>0</v>
      </c>
      <c r="E3" s="165">
        <f>'AZ'!F59+'GM資產組'!F59+'GS事務組'!G59+'台北總務組'!G59+'蘭陽'!G59</f>
        <v>147.8</v>
      </c>
      <c r="F3" s="165">
        <f>'AZ'!G59+'GM資產組'!G59+'GS事務組'!H59+'台北總務組'!H59+'蘭陽'!H59</f>
        <v>0</v>
      </c>
      <c r="G3" s="165">
        <f>'AZ'!H59+'GM資產組'!H59+'GS事務組'!I59+'台北總務組'!I59+'蘭陽'!I59</f>
        <v>0</v>
      </c>
      <c r="H3" s="165">
        <f>'AZ'!I59+'GM資產組'!I59+'GS事務組'!J59+'台北總務組'!J59+'蘭陽'!J59</f>
        <v>138.4</v>
      </c>
      <c r="I3" s="165">
        <f>'AZ'!J59+'GM資產組'!J59+'GS事務組'!K59+'台北總務組'!K59+'蘭陽'!K59</f>
        <v>54.6</v>
      </c>
      <c r="J3" s="165">
        <f>'AZ'!K59+'GM資產組'!K59+'GS事務組'!L59+'台北總務組'!L59+'蘭陽'!L59</f>
        <v>0</v>
      </c>
      <c r="K3" s="165">
        <f>'AZ'!L59+'GM資產組'!L59+'GS事務組'!M59+'台北總務組'!M59+'蘭陽'!M59</f>
        <v>0</v>
      </c>
      <c r="L3" s="165">
        <f>'AZ'!M59+'GM資產組'!M59+'GS事務組'!N59+'台北總務組'!N59+'蘭陽'!N59</f>
        <v>0</v>
      </c>
      <c r="M3" s="165">
        <f>'AZ'!N59+'GM資產組'!N59+'GS事務組'!O59+'台北總務組'!O59+'蘭陽'!O59</f>
        <v>0</v>
      </c>
      <c r="N3" s="165">
        <f>'AZ'!O59+'GM資產組'!O59+'GS事務組'!P59+'台北總務組'!P59+'蘭陽'!P59</f>
        <v>71.6</v>
      </c>
      <c r="O3" s="165">
        <f>'AZ'!P59+'GM資產組'!P59+'GS事務組'!Q59+'台北總務組'!Q59+'蘭陽'!Q59</f>
        <v>0</v>
      </c>
      <c r="P3" s="165">
        <f>'AZ'!Q59+'GM資產組'!Q59+'GS事務組'!R59+'台北總務組'!R59+'蘭陽'!R59</f>
        <v>0.1</v>
      </c>
      <c r="Q3" s="165">
        <f>'AZ'!R59+'GM資產組'!R59+'GS事務組'!S59+'台北總務組'!S59+'蘭陽'!S59</f>
        <v>0</v>
      </c>
      <c r="R3" s="165">
        <f>'AZ'!S59+'GM資產組'!S59+'GS事務組'!T59+'台北總務組'!T59+'蘭陽'!T59</f>
        <v>0.8</v>
      </c>
      <c r="S3" s="165">
        <f>'AZ'!T59+'GM資產組'!T59+'GS事務組'!U59+'台北總務組'!U59+'蘭陽'!U59</f>
        <v>0.4</v>
      </c>
      <c r="T3" s="165">
        <f>'AZ'!U59+'GM資產組'!U59+'GS事務組'!V59+'台北總務組'!V59+'蘭陽'!V59</f>
        <v>0</v>
      </c>
      <c r="U3" s="165">
        <f>'AZ'!V59+'GM資產組'!V59+'GS事務組'!W59+'台北總務組'!W59+'蘭陽'!W59</f>
        <v>3</v>
      </c>
      <c r="V3" s="165" t="e">
        <f>'AZ'!W59+'GM資產組'!W59+'GS事務組'!X59+台北總務組!#REF!+'蘭陽'!X59</f>
        <v>#REF!</v>
      </c>
    </row>
    <row r="4" spans="1:22" ht="16.5">
      <c r="A4" s="109">
        <v>3</v>
      </c>
      <c r="B4" s="163">
        <f t="shared" si="0"/>
        <v>3173.9</v>
      </c>
      <c r="C4" s="165">
        <f>'AZ'!D60+'GM資產組'!D60+'GS事務組'!E60+'台北總務組'!E60+'蘭陽'!E60</f>
        <v>2029.9</v>
      </c>
      <c r="D4" s="165">
        <f>'AZ'!E60+'GM資產組'!E60+'GS事務組'!F60+'台北總務組'!F60+'蘭陽'!F60</f>
        <v>0</v>
      </c>
      <c r="E4" s="165">
        <f>'AZ'!F60+'GM資產組'!F60+'GS事務組'!G60+'台北總務組'!G60+'蘭陽'!G60</f>
        <v>226</v>
      </c>
      <c r="F4" s="165">
        <f>'AZ'!G60+'GM資產組'!G60+'GS事務組'!H60+'台北總務組'!H60+'蘭陽'!H60</f>
        <v>0</v>
      </c>
      <c r="G4" s="165">
        <f>'AZ'!H60+'GM資產組'!H60+'GS事務組'!I60+'台北總務組'!I60+'蘭陽'!I60</f>
        <v>0</v>
      </c>
      <c r="H4" s="165">
        <f>'AZ'!I60+'GM資產組'!I60+'GS事務組'!J60+'台北總務組'!J60+'蘭陽'!J60</f>
        <v>564.0999999999999</v>
      </c>
      <c r="I4" s="165">
        <f>'AZ'!J60+'GM資產組'!J60+'GS事務組'!K60+'台北總務組'!K60+'蘭陽'!K60</f>
        <v>86.8</v>
      </c>
      <c r="J4" s="165">
        <f>'AZ'!K60+'GM資產組'!K60+'GS事務組'!L60+'台北總務組'!L60+'蘭陽'!L60</f>
        <v>0</v>
      </c>
      <c r="K4" s="165">
        <f>'AZ'!L60+'GM資產組'!L60+'GS事務組'!M60+'台北總務組'!M60+'蘭陽'!M60</f>
        <v>0</v>
      </c>
      <c r="L4" s="165">
        <f>'AZ'!M60+'GM資產組'!M60+'GS事務組'!N60+'台北總務組'!N60+'蘭陽'!N60</f>
        <v>0</v>
      </c>
      <c r="M4" s="165">
        <f>'AZ'!N60+'GM資產組'!N60+'GS事務組'!O60+'台北總務組'!O60+'蘭陽'!O60</f>
        <v>0</v>
      </c>
      <c r="N4" s="165">
        <f>'AZ'!O60+'GM資產組'!O60+'GS事務組'!P60+'台北總務組'!P60+'蘭陽'!P60</f>
        <v>245</v>
      </c>
      <c r="O4" s="165">
        <f>'AZ'!P60+'GM資產組'!P60+'GS事務組'!Q60+'台北總務組'!Q60+'蘭陽'!Q60</f>
        <v>0</v>
      </c>
      <c r="P4" s="165">
        <f>'AZ'!Q60+'GM資產組'!Q60+'GS事務組'!R60+'台北總務組'!R60+'蘭陽'!R60</f>
        <v>0.6</v>
      </c>
      <c r="Q4" s="165">
        <f>'AZ'!R60+'GM資產組'!R60+'GS事務組'!S60+'台北總務組'!S60+'蘭陽'!S60</f>
        <v>0</v>
      </c>
      <c r="R4" s="165">
        <f>'AZ'!S60+'GM資產組'!S60+'GS事務組'!T60+'台北總務組'!T60+'蘭陽'!T60</f>
        <v>1.2</v>
      </c>
      <c r="S4" s="165">
        <f>'AZ'!T60+'GM資產組'!T60+'GS事務組'!U60+'台北總務組'!U60+'蘭陽'!U60</f>
        <v>1.3</v>
      </c>
      <c r="T4" s="165">
        <f>'AZ'!U60+'GM資產組'!U60+'GS事務組'!V60+'台北總務組'!V60+'蘭陽'!V60</f>
        <v>0</v>
      </c>
      <c r="U4" s="165">
        <f>'AZ'!V60+'GM資產組'!V60+'GS事務組'!W60+'台北總務組'!W60+'蘭陽'!W60</f>
        <v>19</v>
      </c>
      <c r="V4" s="165" t="e">
        <f>'AZ'!W60+'GM資產組'!W60+'GS事務組'!X60+台北總務組!#REF!+'蘭陽'!X60</f>
        <v>#REF!</v>
      </c>
    </row>
    <row r="5" spans="1:22" ht="16.5">
      <c r="A5" s="109">
        <v>4</v>
      </c>
      <c r="B5" s="163">
        <f t="shared" si="0"/>
        <v>2917.2000000000003</v>
      </c>
      <c r="C5" s="165">
        <f>'AZ'!D61+'GM資產組'!D61+'GS事務組'!E61+'台北總務組'!E61+'蘭陽'!E61</f>
        <v>1751.1</v>
      </c>
      <c r="D5" s="165">
        <f>'AZ'!E61+'GM資產組'!E61+'GS事務組'!F61+'台北總務組'!F61+'蘭陽'!F61</f>
        <v>0</v>
      </c>
      <c r="E5" s="165">
        <f>'AZ'!F61+'GM資產組'!F61+'GS事務組'!G61+'台北總務組'!G61+'蘭陽'!G61</f>
        <v>222.7</v>
      </c>
      <c r="F5" s="165">
        <f>'AZ'!G61+'GM資產組'!G61+'GS事務組'!H61+'台北總務組'!H61+'蘭陽'!H61</f>
        <v>0</v>
      </c>
      <c r="G5" s="165">
        <f>'AZ'!H61+'GM資產組'!H61+'GS事務組'!I61+'台北總務組'!I61+'蘭陽'!I61</f>
        <v>0</v>
      </c>
      <c r="H5" s="165">
        <f>'AZ'!I61+'GM資產組'!I61+'GS事務組'!J61+'台北總務組'!J61+'蘭陽'!J61</f>
        <v>599.6</v>
      </c>
      <c r="I5" s="165">
        <f>'AZ'!J61+'GM資產組'!J61+'GS事務組'!K61+'台北總務組'!K61+'蘭陽'!K61</f>
        <v>143.6</v>
      </c>
      <c r="J5" s="165">
        <f>'AZ'!K61+'GM資產組'!K61+'GS事務組'!L61+'台北總務組'!L61+'蘭陽'!L61</f>
        <v>0</v>
      </c>
      <c r="K5" s="165">
        <f>'AZ'!L61+'GM資產組'!L61+'GS事務組'!M61+'台北總務組'!M61+'蘭陽'!M61</f>
        <v>0</v>
      </c>
      <c r="L5" s="165">
        <f>'AZ'!M61+'GM資產組'!M61+'GS事務組'!N61+'台北總務組'!N61+'蘭陽'!N61</f>
        <v>0</v>
      </c>
      <c r="M5" s="165">
        <f>'AZ'!N61+'GM資產組'!N61+'GS事務組'!O61+'台北總務組'!O61+'蘭陽'!O61</f>
        <v>0</v>
      </c>
      <c r="N5" s="165">
        <f>'AZ'!O61+'GM資產組'!O61+'GS事務組'!P61+'台北總務組'!P61+'蘭陽'!P61</f>
        <v>182.6</v>
      </c>
      <c r="O5" s="165">
        <f>'AZ'!P61+'GM資產組'!P61+'GS事務組'!Q61+'台北總務組'!Q61+'蘭陽'!Q61</f>
        <v>0</v>
      </c>
      <c r="P5" s="165">
        <f>'AZ'!Q61+'GM資產組'!Q61+'GS事務組'!R61+'台北總務組'!R61+'蘭陽'!R61</f>
        <v>0.3</v>
      </c>
      <c r="Q5" s="165">
        <f>'AZ'!R61+'GM資產組'!R61+'GS事務組'!S61+'台北總務組'!S61+'蘭陽'!S61</f>
        <v>0</v>
      </c>
      <c r="R5" s="165">
        <f>'AZ'!S61+'GM資產組'!S61+'GS事務組'!T61+'台北總務組'!T61+'蘭陽'!T61</f>
        <v>1.5</v>
      </c>
      <c r="S5" s="165">
        <f>'AZ'!T61+'GM資產組'!T61+'GS事務組'!U61+'台北總務組'!U61+'蘭陽'!U61</f>
        <v>0.8</v>
      </c>
      <c r="T5" s="165">
        <f>'AZ'!U61+'GM資產組'!U61+'GS事務組'!V61+'台北總務組'!V61+'蘭陽'!V61</f>
        <v>0</v>
      </c>
      <c r="U5" s="165">
        <f>'AZ'!V61+'GM資產組'!V61+'GS事務組'!W61+'台北總務組'!W61+'蘭陽'!W61</f>
        <v>15</v>
      </c>
      <c r="V5" s="165" t="e">
        <f>'AZ'!W61+'GM資產組'!W61+'GS事務組'!X61+台北總務組!#REF!+'蘭陽'!X61</f>
        <v>#REF!</v>
      </c>
    </row>
    <row r="6" spans="1:22" ht="16.5">
      <c r="A6" s="109">
        <v>5</v>
      </c>
      <c r="B6" s="163">
        <f t="shared" si="0"/>
        <v>3497.4000000000005</v>
      </c>
      <c r="C6" s="165">
        <f>'AZ'!D62+'GM資產組'!D62+'GS事務組'!E62+'台北總務組'!E62+'蘭陽'!E62</f>
        <v>2205.4</v>
      </c>
      <c r="D6" s="165">
        <f>'AZ'!E62+'GM資產組'!E62+'GS事務組'!F62+'台北總務組'!F62+'蘭陽'!F62</f>
        <v>0</v>
      </c>
      <c r="E6" s="165">
        <f>'AZ'!F62+'GM資產組'!F62+'GS事務組'!G62+'台北總務組'!G62+'蘭陽'!G62</f>
        <v>422.40000000000003</v>
      </c>
      <c r="F6" s="165">
        <f>'AZ'!G62+'GM資產組'!G62+'GS事務組'!H62+'台北總務組'!H62+'蘭陽'!H62</f>
        <v>0</v>
      </c>
      <c r="G6" s="165">
        <f>'AZ'!H62+'GM資產組'!H62+'GS事務組'!I62+'台北總務組'!I62+'蘭陽'!I62</f>
        <v>0</v>
      </c>
      <c r="H6" s="165">
        <f>'AZ'!I62+'GM資產組'!I62+'GS事務組'!J62+'台北總務組'!J62+'蘭陽'!J62</f>
        <v>461.70000000000005</v>
      </c>
      <c r="I6" s="165">
        <f>'AZ'!J62+'GM資產組'!J62+'GS事務組'!K62+'台北總務組'!K62+'蘭陽'!K62</f>
        <v>144.4</v>
      </c>
      <c r="J6" s="165">
        <f>'AZ'!K62+'GM資產組'!K62+'GS事務組'!L62+'台北總務組'!L62+'蘭陽'!L62</f>
        <v>0</v>
      </c>
      <c r="K6" s="165">
        <f>'AZ'!L62+'GM資產組'!L62+'GS事務組'!M62+'台北總務組'!M62+'蘭陽'!M62</f>
        <v>0</v>
      </c>
      <c r="L6" s="165">
        <f>'AZ'!M62+'GM資產組'!M62+'GS事務組'!N62+'台北總務組'!N62+'蘭陽'!N62</f>
        <v>0</v>
      </c>
      <c r="M6" s="165">
        <f>'AZ'!N62+'GM資產組'!N62+'GS事務組'!O62+'台北總務組'!O62+'蘭陽'!O62</f>
        <v>0</v>
      </c>
      <c r="N6" s="165">
        <f>'AZ'!O62+'GM資產組'!O62+'GS事務組'!P62+'台北總務組'!P62+'蘭陽'!P62</f>
        <v>251.9</v>
      </c>
      <c r="O6" s="165">
        <f>'AZ'!P62+'GM資產組'!P62+'GS事務組'!Q62+'台北總務組'!Q62+'蘭陽'!Q62</f>
        <v>0</v>
      </c>
      <c r="P6" s="165">
        <f>'AZ'!Q62+'GM資產組'!Q62+'GS事務組'!R62+'台北總務組'!R62+'蘭陽'!R62</f>
        <v>0.3</v>
      </c>
      <c r="Q6" s="165">
        <f>'AZ'!R62+'GM資產組'!R62+'GS事務組'!S62+'台北總務組'!S62+'蘭陽'!S62</f>
        <v>0</v>
      </c>
      <c r="R6" s="165">
        <f>'AZ'!S62+'GM資產組'!S62+'GS事務組'!T62+'台北總務組'!T62+'蘭陽'!T62</f>
        <v>1.3</v>
      </c>
      <c r="S6" s="165">
        <f>'AZ'!T62+'GM資產組'!T62+'GS事務組'!U62+'台北總務組'!U62+'蘭陽'!U62</f>
        <v>1</v>
      </c>
      <c r="T6" s="165">
        <f>'AZ'!U62+'GM資產組'!U62+'GS事務組'!V62+'台北總務組'!V62+'蘭陽'!V62</f>
        <v>0</v>
      </c>
      <c r="U6" s="165">
        <f>'AZ'!V62+'GM資產組'!V62+'GS事務組'!W62+'台北總務組'!W62+'蘭陽'!W62</f>
        <v>9</v>
      </c>
      <c r="V6" s="165" t="e">
        <f>'AZ'!W62+'GM資產組'!W62+'GS事務組'!X62+台北總務組!#REF!+'蘭陽'!X62</f>
        <v>#REF!</v>
      </c>
    </row>
    <row r="7" spans="1:22" ht="16.5">
      <c r="A7" s="109">
        <v>6</v>
      </c>
      <c r="B7" s="163">
        <f t="shared" si="0"/>
        <v>10674.8</v>
      </c>
      <c r="C7" s="165">
        <f>'AZ'!D63+'GM資產組'!D63+'GS事務組'!E63+'台北總務組'!E63+'蘭陽'!E63</f>
        <v>3297.3</v>
      </c>
      <c r="D7" s="165">
        <f>'AZ'!E63+'GM資產組'!E63+'GS事務組'!F63+'台北總務組'!F63+'蘭陽'!F63</f>
        <v>0</v>
      </c>
      <c r="E7" s="165">
        <f>'AZ'!F63+'GM資產組'!F63+'GS事務組'!G63+'台北總務組'!G63+'蘭陽'!G63</f>
        <v>309.3</v>
      </c>
      <c r="F7" s="165">
        <f>'AZ'!G63+'GM資產組'!G63+'GS事務組'!H63+'台北總務組'!H63+'蘭陽'!H63</f>
        <v>2084</v>
      </c>
      <c r="G7" s="165">
        <f>'AZ'!H63+'GM資產組'!H63+'GS事務組'!I63+'台北總務組'!I63+'蘭陽'!I63</f>
        <v>0</v>
      </c>
      <c r="H7" s="165">
        <f>'AZ'!I63+'GM資產組'!I63+'GS事務組'!J63+'台北總務組'!J63+'蘭陽'!J63</f>
        <v>681.3</v>
      </c>
      <c r="I7" s="165">
        <f>'AZ'!J63+'GM資產組'!J63+'GS事務組'!K63+'台北總務組'!K63+'蘭陽'!K63</f>
        <v>378.8</v>
      </c>
      <c r="J7" s="165">
        <f>'AZ'!K63+'GM資產組'!K63+'GS事務組'!L63+'台北總務組'!L63+'蘭陽'!L63</f>
        <v>0</v>
      </c>
      <c r="K7" s="165">
        <f>'AZ'!L63+'GM資產組'!L63+'GS事務組'!M63+'台北總務組'!M63+'蘭陽'!M63</f>
        <v>164</v>
      </c>
      <c r="L7" s="165">
        <f>'AZ'!M63+'GM資產組'!M63+'GS事務組'!N63+'台北總務組'!N63+'蘭陽'!N63</f>
        <v>3505.8</v>
      </c>
      <c r="M7" s="165">
        <f>'AZ'!N63+'GM資產組'!N63+'GS事務組'!O63+'台北總務組'!O63+'蘭陽'!O63</f>
        <v>0</v>
      </c>
      <c r="N7" s="165">
        <f>'AZ'!O63+'GM資產組'!O63+'GS事務組'!P63+'台北總務組'!P63+'蘭陽'!P63</f>
        <v>181.4</v>
      </c>
      <c r="O7" s="165">
        <f>'AZ'!P63+'GM資產組'!P63+'GS事務組'!Q63+'台北總務組'!Q63+'蘭陽'!Q63</f>
        <v>0</v>
      </c>
      <c r="P7" s="165">
        <f>'AZ'!Q63+'GM資產組'!Q63+'GS事務組'!R63+'台北總務組'!R63+'蘭陽'!R63</f>
        <v>0.3</v>
      </c>
      <c r="Q7" s="165">
        <f>'AZ'!R63+'GM資產組'!R63+'GS事務組'!S63+'台北總務組'!S63+'蘭陽'!S63</f>
        <v>3</v>
      </c>
      <c r="R7" s="165">
        <f>'AZ'!S63+'GM資產組'!S63+'GS事務組'!T63+'台北總務組'!T63+'蘭陽'!T63</f>
        <v>5</v>
      </c>
      <c r="S7" s="165">
        <f>'AZ'!T63+'GM資產組'!T63+'GS事務組'!U63+'台北總務組'!U63+'蘭陽'!U63</f>
        <v>1.1</v>
      </c>
      <c r="T7" s="165">
        <f>'AZ'!U63+'GM資產組'!U63+'GS事務組'!V63+'台北總務組'!V63+'蘭陽'!V63</f>
        <v>2</v>
      </c>
      <c r="U7" s="165">
        <f>'AZ'!V63+'GM資產組'!V63+'GS事務組'!W63+'台北總務組'!W63+'蘭陽'!W63</f>
        <v>61.5</v>
      </c>
      <c r="V7" s="165" t="e">
        <f>'AZ'!W63+'GM資產組'!W63+'GS事務組'!X63+台北總務組!#REF!+'蘭陽'!X63</f>
        <v>#REF!</v>
      </c>
    </row>
    <row r="8" spans="1:22" ht="16.5">
      <c r="A8" s="109">
        <v>7</v>
      </c>
      <c r="B8" s="163">
        <f t="shared" si="0"/>
        <v>3415.6</v>
      </c>
      <c r="C8" s="165">
        <f>'AZ'!D64+'GM資產組'!D64+'GS事務組'!E64+'台北總務組'!E64+'蘭陽'!E64</f>
        <v>1098</v>
      </c>
      <c r="D8" s="165">
        <f>'AZ'!E64+'GM資產組'!E64+'GS事務組'!F64+'台北總務組'!F64+'蘭陽'!F64</f>
        <v>0</v>
      </c>
      <c r="E8" s="165">
        <f>'AZ'!F64+'GM資產組'!F64+'GS事務組'!G64+'台北總務組'!G64+'蘭陽'!G64</f>
        <v>108.7</v>
      </c>
      <c r="F8" s="165">
        <f>'AZ'!G64+'GM資產組'!G64+'GS事務組'!H64+'台北總務組'!H64+'蘭陽'!H64</f>
        <v>0</v>
      </c>
      <c r="G8" s="165">
        <f>'AZ'!H64+'GM資產組'!H64+'GS事務組'!I64+'台北總務組'!I64+'蘭陽'!I64</f>
        <v>0</v>
      </c>
      <c r="H8" s="165">
        <f>'AZ'!I64+'GM資產組'!I64+'GS事務組'!J64+'台北總務組'!J64+'蘭陽'!J64</f>
        <v>183.8</v>
      </c>
      <c r="I8" s="165">
        <f>'AZ'!J64+'GM資產組'!J64+'GS事務組'!K64+'台北總務組'!K64+'蘭陽'!K64</f>
        <v>71.4</v>
      </c>
      <c r="J8" s="165">
        <f>'AZ'!K64+'GM資產組'!K64+'GS事務組'!L64+'台北總務組'!L64+'蘭陽'!L64</f>
        <v>0</v>
      </c>
      <c r="K8" s="165">
        <f>'AZ'!L64+'GM資產組'!L69+'GS事務組'!M64+'台北總務組'!M64+'蘭陽'!M64</f>
        <v>60</v>
      </c>
      <c r="L8" s="165">
        <f>'AZ'!M64+'GM資產組'!M69+'GS事務組'!N64+'台北總務組'!N64+'蘭陽'!N64</f>
        <v>1800</v>
      </c>
      <c r="M8" s="165">
        <f>'AZ'!N64+'GM資產組'!N64+'GS事務組'!O64+'台北總務組'!O64+'蘭陽'!O64</f>
        <v>0</v>
      </c>
      <c r="N8" s="165">
        <f>'AZ'!O64+'GM資產組'!O64+'GS事務組'!P64+'台北總務組'!P64+'蘭陽'!P64</f>
        <v>83.2</v>
      </c>
      <c r="O8" s="165">
        <f>'AZ'!P64+'GM資產組'!P64+'GS事務組'!Q64+'台北總務組'!Q64+'蘭陽'!Q64</f>
        <v>0</v>
      </c>
      <c r="P8" s="165">
        <f>'AZ'!Q64+'GM資產組'!Q64+'GS事務組'!R64+'台北總務組'!R64+'蘭陽'!R64</f>
        <v>0.4</v>
      </c>
      <c r="Q8" s="165">
        <f>'AZ'!R64+'GM資產組'!R64+'GS事務組'!S64+'台北總務組'!S64+'蘭陽'!S64</f>
        <v>0</v>
      </c>
      <c r="R8" s="165">
        <f>'AZ'!S64+'GM資產組'!S64+'GS事務組'!T64+'台北總務組'!T64+'蘭陽'!T64</f>
        <v>4</v>
      </c>
      <c r="S8" s="165">
        <f>'AZ'!T64+'GM資產組'!T64+'GS事務組'!U64+'台北總務組'!U64+'蘭陽'!U64</f>
        <v>0.6</v>
      </c>
      <c r="T8" s="165">
        <f>'AZ'!U64+'GM資產組'!U64+'GS事務組'!V64+'台北總務組'!V64+'蘭陽'!V64</f>
        <v>0</v>
      </c>
      <c r="U8" s="165">
        <f>'AZ'!V64+'GM資產組'!V64+'GS事務組'!W64+'台北總務組'!W64+'蘭陽'!W64</f>
        <v>5.5</v>
      </c>
      <c r="V8" s="165" t="e">
        <f>'AZ'!W64+'GM資產組'!W64+'GS事務組'!X64+台北總務組!#REF!+'蘭陽'!X64</f>
        <v>#REF!</v>
      </c>
    </row>
    <row r="9" spans="1:22" ht="16.5">
      <c r="A9" s="109">
        <v>8</v>
      </c>
      <c r="B9" s="163">
        <f t="shared" si="0"/>
        <v>2712.7000000000003</v>
      </c>
      <c r="C9" s="165">
        <f>'AZ'!D65+'GM資產組'!D65+'GS事務組'!E65+'台北總務組'!E65+'蘭陽'!E65</f>
        <v>1638.3</v>
      </c>
      <c r="D9" s="165">
        <f>'AZ'!E65+'GM資產組'!E65+'GS事務組'!F65+'台北總務組'!F65+'蘭陽'!F65</f>
        <v>0</v>
      </c>
      <c r="E9" s="165">
        <f>'AZ'!F65+'GM資產組'!F65+'GS事務組'!G65+'台北總務組'!G65+'蘭陽'!G65</f>
        <v>222.5</v>
      </c>
      <c r="F9" s="165">
        <f>'AZ'!G65+'GM資產組'!G65+'GS事務組'!H65+'台北總務組'!H65+'蘭陽'!H65</f>
        <v>0</v>
      </c>
      <c r="G9" s="165">
        <f>'AZ'!H65+'GM資產組'!H65+'GS事務組'!I65+'台北總務組'!I65+'蘭陽'!I65</f>
        <v>0</v>
      </c>
      <c r="H9" s="165">
        <f>'AZ'!I65+'GM資產組'!I65+'GS事務組'!J65+'台北總務組'!J65+'蘭陽'!J65</f>
        <v>739</v>
      </c>
      <c r="I9" s="165">
        <f>'AZ'!J65+'GM資產組'!J65+'GS事務組'!K65+'台北總務組'!K65+'蘭陽'!K65</f>
        <v>39.8</v>
      </c>
      <c r="J9" s="165">
        <f>'AZ'!K65+'GM資產組'!K65+'GS事務組'!L65+'台北總務組'!L65+'蘭陽'!L65</f>
        <v>0</v>
      </c>
      <c r="K9" s="165">
        <f>'AZ'!L65+'GM資產組'!L65+'GS事務組'!M65+'台北總務組'!M65+'蘭陽'!M65</f>
        <v>0</v>
      </c>
      <c r="L9" s="165">
        <f>'AZ'!M65+'GM資產組'!M65+'GS事務組'!N65+'台北總務組'!N65+'蘭陽'!N65</f>
        <v>0</v>
      </c>
      <c r="M9" s="165">
        <f>'AZ'!N65+'GM資產組'!N65+'GS事務組'!O65+'台北總務組'!O65+'蘭陽'!O65</f>
        <v>0</v>
      </c>
      <c r="N9" s="165">
        <f>'AZ'!O65+'GM資產組'!O65+'GS事務組'!P65+'台北總務組'!P65+'蘭陽'!P65</f>
        <v>61</v>
      </c>
      <c r="O9" s="165">
        <f>'AZ'!P65+'GM資產組'!P65+'GS事務組'!Q65+'台北總務組'!Q65+'蘭陽'!Q65</f>
        <v>0</v>
      </c>
      <c r="P9" s="165">
        <f>'AZ'!Q65+'GM資產組'!Q65+'GS事務組'!R65+'台北總務組'!R65+'蘭陽'!R65</f>
        <v>0.3</v>
      </c>
      <c r="Q9" s="165">
        <f>'AZ'!R65+'GM資產組'!R65+'GS事務組'!S65+'台北總務組'!S65+'蘭陽'!S65</f>
        <v>0</v>
      </c>
      <c r="R9" s="165">
        <f>'AZ'!S65+'GM資產組'!S65+'GS事務組'!T65+'台北總務組'!T65+'蘭陽'!T65</f>
        <v>4.6</v>
      </c>
      <c r="S9" s="165">
        <f>'AZ'!T65+'GM資產組'!T65+'GS事務組'!U65+'台北總務組'!U65+'蘭陽'!U65</f>
        <v>1.2</v>
      </c>
      <c r="T9" s="165">
        <f>'AZ'!U65+'GM資產組'!U65+'GS事務組'!V65+'台北總務組'!V65+'蘭陽'!V65</f>
        <v>0</v>
      </c>
      <c r="U9" s="165">
        <f>'AZ'!V65+'GM資產組'!V65+'GS事務組'!W65+'台北總務組'!W65+'蘭陽'!W65</f>
        <v>6</v>
      </c>
      <c r="V9" s="165" t="e">
        <f>'AZ'!W65+'GM資產組'!W65+'GS事務組'!X65+台北總務組!#REF!+'蘭陽'!X65</f>
        <v>#REF!</v>
      </c>
    </row>
    <row r="10" spans="1:22" ht="16.5">
      <c r="A10" s="109">
        <v>9</v>
      </c>
      <c r="B10" s="163">
        <f t="shared" si="0"/>
        <v>5342.8</v>
      </c>
      <c r="C10" s="165">
        <f>'AZ'!D66+'GM資產組'!D66+'GS事務組'!E66+'台北總務組'!E66+'蘭陽'!E66</f>
        <v>3828.6</v>
      </c>
      <c r="D10" s="165">
        <f>'AZ'!E66+'GM資產組'!E66+'GS事務組'!F66+'台北總務組'!F66+'蘭陽'!F66</f>
        <v>0</v>
      </c>
      <c r="E10" s="165">
        <f>'AZ'!F66+'GM資產組'!F66+'GS事務組'!G66+'台北總務組'!G66+'蘭陽'!G66</f>
        <v>196.6</v>
      </c>
      <c r="F10" s="165">
        <f>'AZ'!G66+'GM資產組'!G66+'GS事務組'!H66+'台北總務組'!H66+'蘭陽'!H66</f>
        <v>0</v>
      </c>
      <c r="G10" s="165">
        <f>'AZ'!H66+'GM資產組'!H66+'GS事務組'!I66+'台北總務組'!I66+'蘭陽'!I66</f>
        <v>0</v>
      </c>
      <c r="H10" s="165">
        <f>'AZ'!I66+'GM資產組'!I66+'GS事務組'!J66+'台北總務組'!J66+'蘭陽'!J66</f>
        <v>1082.9</v>
      </c>
      <c r="I10" s="165">
        <f>'AZ'!J66+'GM資產組'!J66+'GS事務組'!K66+'台北總務組'!K66+'蘭陽'!K66</f>
        <v>143.2</v>
      </c>
      <c r="J10" s="165">
        <f>'AZ'!K66+'GM資產組'!K66+'GS事務組'!L66+'台北總務組'!L66+'蘭陽'!L66</f>
        <v>0</v>
      </c>
      <c r="K10" s="165">
        <f>'AZ'!L66+'GM資產組'!L66+'GS事務組'!M66+'台北總務組'!M66+'蘭陽'!M66</f>
        <v>0</v>
      </c>
      <c r="L10" s="165">
        <f>'AZ'!M66+'GM資產組'!M66+'GS事務組'!N66+'台北總務組'!N66+'蘭陽'!N66</f>
        <v>0</v>
      </c>
      <c r="M10" s="165">
        <f>'AZ'!N66+'GM資產組'!N66+'GS事務組'!O66+'台北總務組'!O66+'蘭陽'!O66</f>
        <v>0</v>
      </c>
      <c r="N10" s="165">
        <f>'AZ'!O66+'GM資產組'!O66+'GS事務組'!P66+'台北總務組'!P66+'蘭陽'!P66</f>
        <v>82.5</v>
      </c>
      <c r="O10" s="165">
        <f>'AZ'!P66+'GM資產組'!P66+'GS事務組'!Q66+'台北總務組'!Q66+'蘭陽'!Q66</f>
        <v>0</v>
      </c>
      <c r="P10" s="165">
        <f>'AZ'!Q66+'GM資產組'!Q66+'GS事務組'!R66+'台北總務組'!R66+'蘭陽'!R66</f>
        <v>0.3</v>
      </c>
      <c r="Q10" s="165">
        <f>'AZ'!R66+'GM資產組'!R66+'GS事務組'!S66+'台北總務組'!S66+'蘭陽'!S66</f>
        <v>0</v>
      </c>
      <c r="R10" s="165">
        <f>'AZ'!S66+'GM資產組'!S66+'GS事務組'!T66+'台北總務組'!T66+'蘭陽'!T66</f>
        <v>3.8</v>
      </c>
      <c r="S10" s="165">
        <f>'AZ'!T66+'GM資產組'!T66+'GS事務組'!U66+'台北總務組'!U66+'蘭陽'!U66</f>
        <v>0.9</v>
      </c>
      <c r="T10" s="165">
        <f>'AZ'!U66+'GM資產組'!U66+'GS事務組'!V66+'台北總務組'!V66+'蘭陽'!V66</f>
        <v>0</v>
      </c>
      <c r="U10" s="165">
        <f>'AZ'!V66+'GM資產組'!V66+'GS事務組'!W66+'台北總務組'!W66+'蘭陽'!W66</f>
        <v>4</v>
      </c>
      <c r="V10" s="165" t="e">
        <f>'AZ'!W66+'GM資產組'!W66+'GS事務組'!X66+台北總務組!#REF!+'蘭陽'!X66</f>
        <v>#REF!</v>
      </c>
    </row>
    <row r="11" spans="1:22" ht="16.5">
      <c r="A11" s="109">
        <v>10</v>
      </c>
      <c r="B11" s="163">
        <f t="shared" si="0"/>
        <v>7242.600000000001</v>
      </c>
      <c r="C11" s="165">
        <f>'AZ'!D67+'GM資產組'!D67+'GS事務組'!E67+'台北總務組'!E67+'蘭陽'!E67</f>
        <v>4905.3</v>
      </c>
      <c r="D11" s="165">
        <v>0</v>
      </c>
      <c r="E11" s="165">
        <f>'AZ'!F67+'GM資產組'!F67+'GS事務組'!G67+'台北總務組'!G67+'蘭陽'!G67</f>
        <v>543.3</v>
      </c>
      <c r="F11" s="165">
        <f>'AZ'!G67+'GM資產組'!G67+'GS事務組'!H67+'台北總務組'!H67+'蘭陽'!H67</f>
        <v>0</v>
      </c>
      <c r="G11" s="165">
        <f>'AZ'!H67+'GM資產組'!H67+'GS事務組'!I67+'台北總務組'!I67+'蘭陽'!I67</f>
        <v>0</v>
      </c>
      <c r="H11" s="165">
        <f>'AZ'!I67+'GM資產組'!I67+'GS事務組'!J67+'台北總務組'!J67+'蘭陽'!J67</f>
        <v>1498.7</v>
      </c>
      <c r="I11" s="165">
        <f>'AZ'!J67+'GM資產組'!J67+'GS事務組'!K67+'台北總務組'!K67+'蘭陽'!K67</f>
        <v>144.6</v>
      </c>
      <c r="J11" s="165">
        <f>'AZ'!K67+'GM資產組'!K67+'GS事務組'!L67+'台北總務組'!L67+'蘭陽'!L67</f>
        <v>0</v>
      </c>
      <c r="K11" s="165">
        <f>'AZ'!L67+'GM資產組'!L67+'GS事務組'!M67+'台北總務組'!M67+'蘭陽'!M67</f>
        <v>0</v>
      </c>
      <c r="L11" s="165">
        <f>'AZ'!M67+'GM資產組'!M67+'GS事務組'!N67+'台北總務組'!N67+'蘭陽'!N67</f>
        <v>0</v>
      </c>
      <c r="M11" s="165">
        <f>'AZ'!N67+'GM資產組'!N67+'GS事務組'!O67+'台北總務組'!O67+'蘭陽'!O67</f>
        <v>0</v>
      </c>
      <c r="N11" s="165">
        <f>'AZ'!O67+'GM資產組'!O67+'GS事務組'!P67+'台北總務組'!P67+'蘭陽'!P67</f>
        <v>139.1</v>
      </c>
      <c r="O11" s="165">
        <f>'AZ'!P67+'GM資產組'!P67+'GS事務組'!Q67+'台北總務組'!Q67+'蘭陽'!Q67</f>
        <v>0</v>
      </c>
      <c r="P11" s="165">
        <f>'AZ'!Q67+'GM資產組'!Q67+'GS事務組'!R67+'台北總務組'!R67+'蘭陽'!R67</f>
        <v>1.1</v>
      </c>
      <c r="Q11" s="165">
        <f>'AZ'!R67+'GM資產組'!R67+'GS事務組'!S67+'台北總務組'!S67+'蘭陽'!S67</f>
        <v>0</v>
      </c>
      <c r="R11" s="165">
        <f>'AZ'!S67+'GM資產組'!S67+'GS事務組'!T67+'台北總務組'!T67+'蘭陽'!T67</f>
        <v>1.5</v>
      </c>
      <c r="S11" s="165">
        <f>'AZ'!T67+'GM資產組'!T67+'GS事務組'!U67+'台北總務組'!U67+'蘭陽'!U67</f>
        <v>1</v>
      </c>
      <c r="T11" s="165">
        <f>'AZ'!U67+'GM資產組'!U67+'GS事務組'!V67+'台北總務組'!V67+'蘭陽'!V67</f>
        <v>0</v>
      </c>
      <c r="U11" s="165">
        <f>'AZ'!V67+'GM資產組'!V67+'GS事務組'!W67+'台北總務組'!W67+'蘭陽'!W67</f>
        <v>8</v>
      </c>
      <c r="V11" s="165" t="e">
        <f>'AZ'!W67+'GM資產組'!W67+'GS事務組'!X67+台北總務組!#REF!+'蘭陽'!X67</f>
        <v>#REF!</v>
      </c>
    </row>
    <row r="12" spans="1:22" ht="16.5">
      <c r="A12" s="109">
        <v>11</v>
      </c>
      <c r="B12" s="163">
        <f t="shared" si="0"/>
        <v>6581.2</v>
      </c>
      <c r="C12" s="165">
        <f>'AZ'!D68+'GM資產組'!D68+'GS事務組'!E68+'台北總務組'!E68+'蘭陽'!E68</f>
        <v>3451.5</v>
      </c>
      <c r="D12" s="165">
        <f>'AZ'!E68+'GM資產組'!E68+'GS事務組'!F68+'台北總務組'!F68+'蘭陽'!F68</f>
        <v>0</v>
      </c>
      <c r="E12" s="165">
        <f>'AZ'!F68+'GM資產組'!F68+'GS事務組'!G68+'台北總務組'!G68+'蘭陽'!G68</f>
        <v>422.4</v>
      </c>
      <c r="F12" s="165">
        <f>'AZ'!G68+'GM資產組'!G68+'GS事務組'!H68+'台北總務組'!H68+'蘭陽'!H68</f>
        <v>0</v>
      </c>
      <c r="G12" s="165">
        <f>'AZ'!H68+'GM資產組'!H68+'GS事務組'!I68+'台北總務組'!I68+'蘭陽'!I68</f>
        <v>0</v>
      </c>
      <c r="H12" s="165">
        <f>'AZ'!I68+'GM資產組'!I68+'GS事務組'!J68+'台北總務組'!J68+'蘭陽'!J68</f>
        <v>1222.5</v>
      </c>
      <c r="I12" s="165">
        <f>'AZ'!J68+'GM資產組'!J68+'GS事務組'!K68+'台北總務組'!K68+'蘭陽'!K68</f>
        <v>138.6</v>
      </c>
      <c r="J12" s="165">
        <f>'AZ'!K68+'GM資產組'!K68+'GS事務組'!L68+'台北總務組'!L68+'蘭陽'!L68</f>
        <v>0</v>
      </c>
      <c r="K12" s="165">
        <f>'AZ'!L68+'GM資產組'!L68+'GS事務組'!M68+'台北總務組'!M68+'蘭陽'!M68</f>
        <v>0</v>
      </c>
      <c r="L12" s="165">
        <f>'AZ'!M68+'GM資產組'!M68+'GS事務組'!N68+'台北總務組'!N68+'蘭陽'!N68</f>
        <v>0</v>
      </c>
      <c r="M12" s="165">
        <f>'AZ'!N68+'GM資產組'!N68+'GS事務組'!O68+'台北總務組'!O68+'蘭陽'!O68</f>
        <v>0</v>
      </c>
      <c r="N12" s="165">
        <f>'AZ'!O68+'GM資產組'!O68+'GS事務組'!P68+'台北總務組'!P68+'蘭陽'!P68</f>
        <v>1333.7</v>
      </c>
      <c r="O12" s="165">
        <f>'AZ'!P68+'GM資產組'!P68+'GS事務組'!Q68+'台北總務組'!Q68+'蘭陽'!Q68</f>
        <v>0</v>
      </c>
      <c r="P12" s="165">
        <f>'AZ'!Q68+'GM資產組'!Q68+'GS事務組'!R68+'台北總務組'!R68+'蘭陽'!R68</f>
        <v>0.4</v>
      </c>
      <c r="Q12" s="165">
        <f>'AZ'!R68+'GM資產組'!R68+'GS事務組'!S68+'台北總務組'!S68+'蘭陽'!S68</f>
        <v>0</v>
      </c>
      <c r="R12" s="165">
        <f>'AZ'!S68+'GM資產組'!S68+'GS事務組'!T68+'台北總務組'!T68+'蘭陽'!T68</f>
        <v>2.1</v>
      </c>
      <c r="S12" s="165">
        <f>'AZ'!T68+'GM資產組'!T68+'GS事務組'!U68+'台北總務組'!U68+'蘭陽'!U68</f>
        <v>1.5</v>
      </c>
      <c r="T12" s="165">
        <f>'AZ'!U68+'GM資產組'!U68+'GS事務組'!V68+'台北總務組'!V68+'蘭陽'!V68</f>
        <v>0</v>
      </c>
      <c r="U12" s="165">
        <f>'AZ'!V68+'GM資產組'!V68+'GS事務組'!W68+'台北總務組'!W68+'蘭陽'!W68</f>
        <v>8.5</v>
      </c>
      <c r="V12" s="165" t="e">
        <f>'AZ'!W68+'GM資產組'!W68+'GS事務組'!X68+台北總務組!#REF!+'蘭陽'!X68</f>
        <v>#REF!</v>
      </c>
    </row>
    <row r="13" spans="1:22" ht="17.25" thickBot="1">
      <c r="A13" s="113">
        <v>12</v>
      </c>
      <c r="B13" s="163">
        <f t="shared" si="0"/>
        <v>9406.1</v>
      </c>
      <c r="C13" s="165">
        <f>'AZ'!D69+'GM資產組'!D69+'GS事務組'!E69+'台北總務組'!E69+'蘭陽'!E69</f>
        <v>3565.3</v>
      </c>
      <c r="D13" s="165">
        <f>'AZ'!E69+'GM資產組'!E69+'GS事務組'!F69+'台北總務組'!F69+'蘭陽'!F69</f>
        <v>0</v>
      </c>
      <c r="E13" s="165">
        <f>'AZ'!F69+'GM資產組'!F69+'GS事務組'!G69+'台北總務組'!G69+'蘭陽'!G69</f>
        <v>416.6</v>
      </c>
      <c r="F13" s="165">
        <f>'AZ'!G69+'GM資產組'!G69+'GS事務組'!H69+'台北總務組'!H69+'蘭陽'!H69</f>
        <v>592</v>
      </c>
      <c r="G13" s="165">
        <f>'AZ'!H69+'GM資產組'!H69+'GS事務組'!I69+'台北總務組'!I69+'蘭陽'!I69</f>
        <v>0</v>
      </c>
      <c r="H13" s="165">
        <f>'AZ'!I69+'GM資產組'!I69+'GS事務組'!J69+'台北總務組'!J69+'蘭陽'!J69</f>
        <v>1166.8</v>
      </c>
      <c r="I13" s="165">
        <f>'AZ'!J69+'GM資產組'!J69+'GS事務組'!K69+'台北總務組'!K69+'蘭陽'!K69</f>
        <v>125.2</v>
      </c>
      <c r="J13" s="165">
        <f>'AZ'!K69+'GM資產組'!K69+'GS事務組'!L69+'台北總務組'!L69+'蘭陽'!L69</f>
        <v>0</v>
      </c>
      <c r="K13" s="165">
        <f>'AZ'!L69+'GM資產組'!L69+'GS事務組'!M69+'台北總務組'!M69+'蘭陽'!M69</f>
        <v>60</v>
      </c>
      <c r="L13" s="165">
        <f>'AZ'!M69+'GM資產組'!M69+'GS事務組'!N69+'台北總務組'!N69+'蘭陽'!N69</f>
        <v>1800</v>
      </c>
      <c r="M13" s="165">
        <f>'AZ'!N69+'GM資產組'!N69+'GS事務組'!O69+'台北總務組'!O69+'蘭陽'!O69</f>
        <v>0</v>
      </c>
      <c r="N13" s="165">
        <f>'AZ'!O69+'GM資產組'!O69+'GS事務組'!P69+'台北總務組'!P69+'蘭陽'!P69</f>
        <v>1670.7</v>
      </c>
      <c r="O13" s="165">
        <f>'AZ'!P69+'GM資產組'!P69+'GS事務組'!Q69+'台北總務組'!Q69+'蘭陽'!Q69</f>
        <v>0</v>
      </c>
      <c r="P13" s="165">
        <f>'AZ'!Q69+'GM資產組'!Q69+'GS事務組'!R69+'台北總務組'!R69+'蘭陽'!R69</f>
        <v>0.2</v>
      </c>
      <c r="Q13" s="165">
        <f>'AZ'!R69+'GM資產組'!R69+'GS事務組'!S69+'台北總務組'!S69+'蘭陽'!S69</f>
        <v>0</v>
      </c>
      <c r="R13" s="165">
        <f>'AZ'!S69+'GM資產組'!S69+'GS事務組'!T69+'台北總務組'!T69+'蘭陽'!T69</f>
        <v>1.8</v>
      </c>
      <c r="S13" s="165">
        <f>'AZ'!T69+'GM資產組'!T69+'GS事務組'!U69+'台北總務組'!U69+'蘭陽'!U69</f>
        <v>0</v>
      </c>
      <c r="T13" s="165">
        <f>'AZ'!U69+'GM資產組'!U69+'GS事務組'!V69+'台北總務組'!V69+'蘭陽'!V69</f>
        <v>0</v>
      </c>
      <c r="U13" s="165">
        <f>'AZ'!V69+'GM資產組'!V69+'GS事務組'!W69+'台北總務組'!W69+'蘭陽'!W69</f>
        <v>7.5</v>
      </c>
      <c r="V13" s="165" t="e">
        <f>'AZ'!W69+'GM資產組'!W69+'GS事務組'!X69+台北總務組!#REF!+'蘭陽'!X69</f>
        <v>#REF!</v>
      </c>
    </row>
    <row r="14" spans="1:22" ht="17.25" thickTop="1">
      <c r="A14" s="114" t="s">
        <v>27</v>
      </c>
      <c r="B14" s="164">
        <f aca="true" t="shared" si="1" ref="B14:V14">SUM(B2:B13)</f>
        <v>64157.899999999994</v>
      </c>
      <c r="C14" s="167">
        <f t="shared" si="1"/>
        <v>31785.199999999997</v>
      </c>
      <c r="D14" s="165">
        <f>'AZ'!E70+'GM資產組'!E70+'GS事務組'!F70+'台北總務組'!F70+'蘭陽'!F70</f>
        <v>0</v>
      </c>
      <c r="E14" s="167">
        <f t="shared" si="1"/>
        <v>3393.8</v>
      </c>
      <c r="F14" s="167">
        <f t="shared" si="1"/>
        <v>3841</v>
      </c>
      <c r="G14" s="167">
        <f t="shared" si="1"/>
        <v>0</v>
      </c>
      <c r="H14" s="167">
        <f t="shared" si="1"/>
        <v>8671.6</v>
      </c>
      <c r="I14" s="167">
        <f t="shared" si="1"/>
        <v>1600</v>
      </c>
      <c r="J14" s="167">
        <f t="shared" si="1"/>
        <v>0</v>
      </c>
      <c r="K14" s="167">
        <f t="shared" si="1"/>
        <v>301</v>
      </c>
      <c r="L14" s="167">
        <f t="shared" si="1"/>
        <v>9901.8</v>
      </c>
      <c r="M14" s="167">
        <f t="shared" si="1"/>
        <v>0</v>
      </c>
      <c r="N14" s="167">
        <f t="shared" si="1"/>
        <v>4460.1</v>
      </c>
      <c r="O14" s="167">
        <f t="shared" si="1"/>
        <v>0</v>
      </c>
      <c r="P14" s="167">
        <f t="shared" si="1"/>
        <v>5.3999999999999995</v>
      </c>
      <c r="Q14" s="167">
        <f t="shared" si="1"/>
        <v>3</v>
      </c>
      <c r="R14" s="167">
        <f t="shared" si="1"/>
        <v>28.6</v>
      </c>
      <c r="S14" s="167">
        <f t="shared" si="1"/>
        <v>10.399999999999999</v>
      </c>
      <c r="T14" s="167">
        <f t="shared" si="1"/>
        <v>2</v>
      </c>
      <c r="U14" s="167">
        <f t="shared" si="1"/>
        <v>154</v>
      </c>
      <c r="V14" s="168" t="e">
        <f t="shared" si="1"/>
        <v>#REF!</v>
      </c>
    </row>
    <row r="15" spans="1:22" ht="30.75" thickBot="1">
      <c r="A15" s="117" t="s">
        <v>48</v>
      </c>
      <c r="B15" s="169">
        <f aca="true" t="shared" si="2" ref="B15:V15">B14/12</f>
        <v>5346.491666666666</v>
      </c>
      <c r="C15" s="169">
        <f t="shared" si="2"/>
        <v>2648.7666666666664</v>
      </c>
      <c r="D15" s="165">
        <f>'AZ'!E71+'GM資產組'!E71+'GS事務組'!F71+'台北總務組'!F71+'蘭陽'!F71</f>
        <v>0</v>
      </c>
      <c r="E15" s="169">
        <f t="shared" si="2"/>
        <v>282.81666666666666</v>
      </c>
      <c r="F15" s="169">
        <f t="shared" si="2"/>
        <v>320.0833333333333</v>
      </c>
      <c r="G15" s="169">
        <f t="shared" si="2"/>
        <v>0</v>
      </c>
      <c r="H15" s="169">
        <f t="shared" si="2"/>
        <v>722.6333333333333</v>
      </c>
      <c r="I15" s="169">
        <f t="shared" si="2"/>
        <v>133.33333333333334</v>
      </c>
      <c r="J15" s="169">
        <f t="shared" si="2"/>
        <v>0</v>
      </c>
      <c r="K15" s="169">
        <f t="shared" si="2"/>
        <v>25.083333333333332</v>
      </c>
      <c r="L15" s="169">
        <f t="shared" si="2"/>
        <v>825.15</v>
      </c>
      <c r="M15" s="169">
        <f t="shared" si="2"/>
        <v>0</v>
      </c>
      <c r="N15" s="169">
        <f t="shared" si="2"/>
        <v>371.675</v>
      </c>
      <c r="O15" s="169">
        <f t="shared" si="2"/>
        <v>0</v>
      </c>
      <c r="P15" s="169">
        <f t="shared" si="2"/>
        <v>0.44999999999999996</v>
      </c>
      <c r="Q15" s="169">
        <f t="shared" si="2"/>
        <v>0.25</v>
      </c>
      <c r="R15" s="169">
        <f t="shared" si="2"/>
        <v>2.3833333333333333</v>
      </c>
      <c r="S15" s="169">
        <f t="shared" si="2"/>
        <v>0.8666666666666666</v>
      </c>
      <c r="T15" s="169">
        <f t="shared" si="2"/>
        <v>0.16666666666666666</v>
      </c>
      <c r="U15" s="169">
        <f t="shared" si="2"/>
        <v>12.833333333333334</v>
      </c>
      <c r="V15" s="170" t="e">
        <f t="shared" si="2"/>
        <v>#REF!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V15"/>
  <sheetViews>
    <sheetView zoomScalePageLayoutView="0" workbookViewId="0" topLeftCell="A1">
      <selection activeCell="E31" sqref="E31"/>
    </sheetView>
  </sheetViews>
  <sheetFormatPr defaultColWidth="9.00390625" defaultRowHeight="16.5"/>
  <sheetData>
    <row r="1" spans="1:22" ht="60">
      <c r="A1" s="136" t="s">
        <v>142</v>
      </c>
      <c r="B1" s="137" t="s">
        <v>50</v>
      </c>
      <c r="C1" s="137" t="s">
        <v>2</v>
      </c>
      <c r="D1" s="137" t="s">
        <v>3</v>
      </c>
      <c r="E1" s="137" t="s">
        <v>4</v>
      </c>
      <c r="F1" s="137" t="s">
        <v>20</v>
      </c>
      <c r="G1" s="137" t="s">
        <v>36</v>
      </c>
      <c r="H1" s="137" t="s">
        <v>21</v>
      </c>
      <c r="I1" s="137" t="s">
        <v>22</v>
      </c>
      <c r="J1" s="137" t="s">
        <v>9</v>
      </c>
      <c r="K1" s="137" t="s">
        <v>10</v>
      </c>
      <c r="L1" s="137" t="s">
        <v>11</v>
      </c>
      <c r="M1" s="137" t="s">
        <v>12</v>
      </c>
      <c r="N1" s="137" t="s">
        <v>13</v>
      </c>
      <c r="O1" s="137" t="s">
        <v>14</v>
      </c>
      <c r="P1" s="137" t="s">
        <v>15</v>
      </c>
      <c r="Q1" s="137" t="s">
        <v>23</v>
      </c>
      <c r="R1" s="137" t="s">
        <v>60</v>
      </c>
      <c r="S1" s="137" t="s">
        <v>24</v>
      </c>
      <c r="T1" s="137" t="s">
        <v>25</v>
      </c>
      <c r="U1" s="137" t="s">
        <v>26</v>
      </c>
      <c r="V1" s="138" t="s">
        <v>49</v>
      </c>
    </row>
    <row r="2" spans="1:22" ht="16.5">
      <c r="A2" s="109">
        <v>1</v>
      </c>
      <c r="B2" s="165">
        <f>SUM(C2:U2)</f>
        <v>3767.8999999999996</v>
      </c>
      <c r="C2" s="165">
        <f>'AZ'!D70+'GS事務組'!E70+'GM資產組'!D70</f>
        <v>2153.1</v>
      </c>
      <c r="D2" s="165">
        <f>'AZ'!E70+'GS事務組'!F70+'GM資產組'!E70</f>
        <v>0</v>
      </c>
      <c r="E2" s="165">
        <f>'AZ'!F70+'GS事務組'!G70+'GM資產組'!F70</f>
        <v>174.1</v>
      </c>
      <c r="F2" s="165">
        <f>'AZ'!G70+'GS事務組'!H70+'GM資產組'!G70</f>
        <v>0</v>
      </c>
      <c r="G2" s="165">
        <f>'AZ'!H70+'GS事務組'!I70+'GM資產組'!H70</f>
        <v>0</v>
      </c>
      <c r="H2" s="165">
        <f>'AZ'!I70+'GS事務組'!J70+'GM資產組'!I70</f>
        <v>819.4</v>
      </c>
      <c r="I2" s="165">
        <f>'AZ'!J70+'GS事務組'!K70+'GM資產組'!J70</f>
        <v>0</v>
      </c>
      <c r="J2" s="165">
        <f>'AZ'!K70+'GS事務組'!L70+'GM資產組'!K70</f>
        <v>0</v>
      </c>
      <c r="K2" s="165">
        <f>'AZ'!L70+'GS事務組'!M70+'GM資產組'!L70</f>
        <v>0</v>
      </c>
      <c r="L2" s="165">
        <f>'AZ'!M70+'GS事務組'!N70+'GM資產組'!M70</f>
        <v>0</v>
      </c>
      <c r="M2" s="165">
        <f>'AZ'!N70+'GS事務組'!O70+'GM資產組'!N70</f>
        <v>0</v>
      </c>
      <c r="N2" s="165">
        <f>'AZ'!O70+'GS事務組'!P70+'GM資產組'!O70</f>
        <v>620.3</v>
      </c>
      <c r="O2" s="165">
        <f>'AZ'!P70+'GS事務組'!Q70+'GM資產組'!P70</f>
        <v>0</v>
      </c>
      <c r="P2" s="165">
        <f>'AZ'!Q70+'GS事務組'!R70+'GM資產組'!Q70</f>
        <v>0</v>
      </c>
      <c r="Q2" s="165">
        <f>'AZ'!R70+'GS事務組'!S70+'GM資產組'!R70</f>
        <v>0</v>
      </c>
      <c r="R2" s="165">
        <f>'AZ'!S70+'GS事務組'!T70+'GM資產組'!S70</f>
        <v>0</v>
      </c>
      <c r="S2" s="165">
        <f>'AZ'!T70+'GS事務組'!U70+'GM資產組'!T70</f>
        <v>0</v>
      </c>
      <c r="T2" s="165">
        <f>'AZ'!U70+'GS事務組'!V70+'GM資產組'!U70</f>
        <v>0</v>
      </c>
      <c r="U2" s="165">
        <f>'AZ'!V70+'GS事務組'!W70+'GM資產組'!V70</f>
        <v>1</v>
      </c>
      <c r="V2" s="166">
        <f>'AZ'!W70+'GS事務組'!X70+'GM資產組'!W70</f>
        <v>913</v>
      </c>
    </row>
    <row r="3" spans="1:22" ht="16.5">
      <c r="A3" s="109">
        <v>2</v>
      </c>
      <c r="B3" s="165">
        <f aca="true" t="shared" si="0" ref="B3:B13">SUM(C3:U3)</f>
        <v>2050.2</v>
      </c>
      <c r="C3" s="165">
        <f>'AZ'!D71+'GS事務組'!E71+'GM資產組'!D71</f>
        <v>1244.1</v>
      </c>
      <c r="D3" s="165">
        <f>'AZ'!E71+'GS事務組'!F71+'GM資產組'!E71</f>
        <v>0</v>
      </c>
      <c r="E3" s="165">
        <f>'AZ'!F71+'GS事務組'!G71+'GM資產組'!F71</f>
        <v>97.3</v>
      </c>
      <c r="F3" s="165">
        <f>'AZ'!G71+'GS事務組'!H71+'GM資產組'!G71</f>
        <v>0</v>
      </c>
      <c r="G3" s="165">
        <f>'AZ'!H71+'GS事務組'!I71+'GM資產組'!H71</f>
        <v>0</v>
      </c>
      <c r="H3" s="165">
        <f>'AZ'!I71+'GS事務組'!J71+'GM資產組'!I71</f>
        <v>299.8</v>
      </c>
      <c r="I3" s="165">
        <f>'AZ'!J71+'GS事務組'!K71+'GM資產組'!J71</f>
        <v>0</v>
      </c>
      <c r="J3" s="165">
        <f>'AZ'!K71+'GS事務組'!L71+'GM資產組'!K71</f>
        <v>0</v>
      </c>
      <c r="K3" s="165">
        <f>'AZ'!L71+'GS事務組'!M71+'GM資產組'!L71</f>
        <v>0</v>
      </c>
      <c r="L3" s="165">
        <f>'AZ'!M71+'GS事務組'!N71+'GM資產組'!M71</f>
        <v>0</v>
      </c>
      <c r="M3" s="165">
        <f>'AZ'!N71+'GS事務組'!O71+'GM資產組'!N71</f>
        <v>0</v>
      </c>
      <c r="N3" s="165">
        <f>'AZ'!O71+'GS事務組'!P71+'GM資產組'!O71</f>
        <v>409</v>
      </c>
      <c r="O3" s="165">
        <f>'AZ'!P71+'GS事務組'!Q71+'GM資產組'!P71</f>
        <v>0</v>
      </c>
      <c r="P3" s="165">
        <f>'AZ'!Q71+'GS事務組'!R71+'GM資產組'!Q71</f>
        <v>0</v>
      </c>
      <c r="Q3" s="165">
        <f>'AZ'!R71+'GS事務組'!S71+'GM資產組'!R71</f>
        <v>0</v>
      </c>
      <c r="R3" s="165">
        <f>'AZ'!S71+'GS事務組'!T71+'GM資產組'!S71</f>
        <v>0</v>
      </c>
      <c r="S3" s="165">
        <f>'AZ'!T71+'GS事務組'!U71+'GM資產組'!T71</f>
        <v>0</v>
      </c>
      <c r="T3" s="165">
        <f>'AZ'!U71+'GS事務組'!V71+'GM資產組'!U71</f>
        <v>0</v>
      </c>
      <c r="U3" s="165">
        <f>'AZ'!V71+'GS事務組'!W71+'GM資產組'!V71</f>
        <v>0</v>
      </c>
      <c r="V3" s="166">
        <f>'AZ'!W71+'GS事務組'!X71+'GM資產組'!W71</f>
        <v>730</v>
      </c>
    </row>
    <row r="4" spans="1:22" ht="16.5">
      <c r="A4" s="109">
        <v>3</v>
      </c>
      <c r="B4" s="165">
        <f t="shared" si="0"/>
        <v>5454.4</v>
      </c>
      <c r="C4" s="165">
        <f>'AZ'!D72+'GS事務組'!E72+'GM資產組'!D72</f>
        <v>2361</v>
      </c>
      <c r="D4" s="165">
        <f>'AZ'!E72+'GS事務組'!F72+'GM資產組'!E72</f>
        <v>0</v>
      </c>
      <c r="E4" s="165">
        <f>'AZ'!F72+'GS事務組'!G72+'GM資產組'!F72</f>
        <v>150.2</v>
      </c>
      <c r="F4" s="165">
        <f>'AZ'!G72+'GS事務組'!H72+'GM資產組'!G72</f>
        <v>1850</v>
      </c>
      <c r="G4" s="165">
        <f>'AZ'!H72+'GS事務組'!I72+'GM資產組'!H72</f>
        <v>0</v>
      </c>
      <c r="H4" s="165">
        <f>'AZ'!I72+'GS事務組'!J72+'GM資產組'!I72</f>
        <v>557</v>
      </c>
      <c r="I4" s="165">
        <f>'AZ'!J72+'GS事務組'!K72+'GM資產組'!J72</f>
        <v>0</v>
      </c>
      <c r="J4" s="165">
        <f>'AZ'!K72+'GS事務組'!L72+'GM資產組'!K72</f>
        <v>0</v>
      </c>
      <c r="K4" s="165">
        <f>'AZ'!L72+'GS事務組'!M72+'GM資產組'!L72</f>
        <v>0</v>
      </c>
      <c r="L4" s="165">
        <f>'AZ'!M72+'GS事務組'!N72+'GM資產組'!M72</f>
        <v>96</v>
      </c>
      <c r="M4" s="165">
        <f>'AZ'!N72+'GS事務組'!O72+'GM資產組'!N72</f>
        <v>0</v>
      </c>
      <c r="N4" s="165">
        <f>'AZ'!O72+'GS事務組'!P72+'GM資產組'!O72</f>
        <v>440.2</v>
      </c>
      <c r="O4" s="165">
        <f>'AZ'!P72+'GS事務組'!Q72+'GM資產組'!P72</f>
        <v>0</v>
      </c>
      <c r="P4" s="165">
        <f>'AZ'!Q72+'GS事務組'!R72+'GM資產組'!Q72</f>
        <v>0</v>
      </c>
      <c r="Q4" s="165">
        <f>'AZ'!R72+'GS事務組'!S72+'GM資產組'!R72</f>
        <v>0</v>
      </c>
      <c r="R4" s="165">
        <f>'AZ'!S72+'GS事務組'!T72+'GM資產組'!S72</f>
        <v>0</v>
      </c>
      <c r="S4" s="165">
        <f>'AZ'!T72+'GS事務組'!U72+'GM資產組'!T72</f>
        <v>0</v>
      </c>
      <c r="T4" s="165">
        <f>'AZ'!U72+'GS事務組'!V72+'GM資產組'!U72</f>
        <v>0</v>
      </c>
      <c r="U4" s="165">
        <f>'AZ'!V72+'GS事務組'!W72+'GM資產組'!V72</f>
        <v>0</v>
      </c>
      <c r="V4" s="166">
        <f>'AZ'!W72+'GS事務組'!X72+'GM資產組'!W72</f>
        <v>1347</v>
      </c>
    </row>
    <row r="5" spans="1:22" ht="16.5">
      <c r="A5" s="109">
        <v>4</v>
      </c>
      <c r="B5" s="165">
        <f t="shared" si="0"/>
        <v>7310.1</v>
      </c>
      <c r="C5" s="165">
        <f>'AZ'!D73+'GS事務組'!E73+'GM資產組'!D73</f>
        <v>1944.7</v>
      </c>
      <c r="D5" s="165">
        <f>'AZ'!E73+'GS事務組'!F73+'GM資產組'!E73</f>
        <v>0</v>
      </c>
      <c r="E5" s="165">
        <f>'AZ'!F73+'GS事務組'!G73+'GM資產組'!F73</f>
        <v>138</v>
      </c>
      <c r="F5" s="165">
        <f>'AZ'!G73+'GS事務組'!H73+'GM資產組'!G73</f>
        <v>3000</v>
      </c>
      <c r="G5" s="165">
        <f>'AZ'!H73+'GS事務組'!I73+'GM資產組'!H73</f>
        <v>0</v>
      </c>
      <c r="H5" s="165">
        <f>'AZ'!I73+'GS事務組'!J73+'GM資產組'!I73</f>
        <v>478.8</v>
      </c>
      <c r="I5" s="165">
        <f>'AZ'!J73+'GS事務組'!K73+'GM資產組'!J73</f>
        <v>0</v>
      </c>
      <c r="J5" s="165">
        <f>'AZ'!K73+'GS事務組'!L73+'GM資產組'!K73</f>
        <v>0</v>
      </c>
      <c r="K5" s="165">
        <f>'AZ'!L73+'GS事務組'!M73+'GM資產組'!L73</f>
        <v>0</v>
      </c>
      <c r="L5" s="165">
        <f>'AZ'!M73+'GS事務組'!N73+'GM資產組'!M73</f>
        <v>756</v>
      </c>
      <c r="M5" s="165">
        <f>'AZ'!N73+'GS事務組'!O73+'GM資產組'!N73</f>
        <v>0</v>
      </c>
      <c r="N5" s="165">
        <f>'AZ'!O73+'GS事務組'!P73+'GM資產組'!O73</f>
        <v>992.1</v>
      </c>
      <c r="O5" s="165">
        <f>'AZ'!P73+'GS事務組'!Q73+'GM資產組'!P73</f>
        <v>0</v>
      </c>
      <c r="P5" s="165">
        <f>'AZ'!Q73+'GS事務組'!R73+'GM資產組'!Q73</f>
        <v>0</v>
      </c>
      <c r="Q5" s="165">
        <f>'AZ'!R73+'GS事務組'!S73+'GM資產組'!R73</f>
        <v>0</v>
      </c>
      <c r="R5" s="165">
        <f>'AZ'!S73+'GS事務組'!T73+'GM資產組'!S73</f>
        <v>0</v>
      </c>
      <c r="S5" s="165">
        <f>'AZ'!T73+'GS事務組'!U73+'GM資產組'!T73</f>
        <v>0</v>
      </c>
      <c r="T5" s="165">
        <f>'AZ'!U73+'GS事務組'!V73+'GM資產組'!U73</f>
        <v>0</v>
      </c>
      <c r="U5" s="165">
        <f>'AZ'!V73+'GS事務組'!W73+'GM資產組'!V73</f>
        <v>0.5</v>
      </c>
      <c r="V5" s="166">
        <f>'AZ'!W73+'GS事務組'!X73+'GM資產組'!W73</f>
        <v>1280</v>
      </c>
    </row>
    <row r="6" spans="1:22" s="203" customFormat="1" ht="18.75" customHeight="1">
      <c r="A6" s="201">
        <v>5</v>
      </c>
      <c r="B6" s="202">
        <f t="shared" si="0"/>
        <v>6882.200000000001</v>
      </c>
      <c r="C6" s="202">
        <f>'AZ'!D74+'GS事務組'!E74+'GM資產組'!D74</f>
        <v>2367.3</v>
      </c>
      <c r="D6" s="202">
        <f>'AZ'!E74+'GS事務組'!F74+'GM資產組'!E74</f>
        <v>0</v>
      </c>
      <c r="E6" s="202">
        <f>'AZ'!F74+'GS事務組'!G74+'GM資產組'!F74</f>
        <v>137.7</v>
      </c>
      <c r="F6" s="202">
        <f>'AZ'!G74+'GS事務組'!H74+'GM資產組'!G74</f>
        <v>768</v>
      </c>
      <c r="G6" s="202">
        <f>'AZ'!H74+'GS事務組'!I74+'GM資產組'!H74</f>
        <v>0</v>
      </c>
      <c r="H6" s="202">
        <f>'AZ'!I74+'GS事務組'!J74+'GM資產組'!I74</f>
        <v>556.3</v>
      </c>
      <c r="I6" s="202">
        <f>'AZ'!J74+'GS事務組'!K74+'GM資產組'!J74</f>
        <v>0</v>
      </c>
      <c r="J6" s="202">
        <f>'AZ'!K74+'GS事務組'!L74+'GM資產組'!K74</f>
        <v>0</v>
      </c>
      <c r="K6" s="202">
        <f>'AZ'!L74+'GS事務組'!M74+'GM資產組'!L74</f>
        <v>0</v>
      </c>
      <c r="L6" s="202">
        <f>'AZ'!M74+'GS事務組'!N74+'GM資產組'!M74</f>
        <v>1980</v>
      </c>
      <c r="M6" s="202">
        <f>'AZ'!N74+'GS事務組'!O74+'GM資產組'!N74</f>
        <v>0</v>
      </c>
      <c r="N6" s="202">
        <f>'AZ'!O74+'GS事務組'!P74+'GM資產組'!O74</f>
        <v>1072.9</v>
      </c>
      <c r="O6" s="202">
        <f>'AZ'!P74+'GS事務組'!Q74+'GM資產組'!P74</f>
        <v>0</v>
      </c>
      <c r="P6" s="202">
        <f>'AZ'!Q74+'GS事務組'!R74+'GM資產組'!Q74</f>
        <v>0</v>
      </c>
      <c r="Q6" s="202">
        <f>'AZ'!R74+'GS事務組'!S74+'GM資產組'!R74</f>
        <v>0</v>
      </c>
      <c r="R6" s="202">
        <f>'AZ'!S74+'GS事務組'!T74+'GM資產組'!S74</f>
        <v>0</v>
      </c>
      <c r="S6" s="202">
        <f>'AZ'!T74+'GS事務組'!U74+'GM資產組'!T74</f>
        <v>0</v>
      </c>
      <c r="T6" s="202">
        <f>'AZ'!U74+'GS事務組'!V74+'GM資產組'!U74</f>
        <v>0</v>
      </c>
      <c r="U6" s="202">
        <f>'AZ'!V74+'GS事務組'!W74+'GM資產組'!V74</f>
        <v>0</v>
      </c>
      <c r="V6" s="205">
        <f>'AZ'!W74+'GS事務組'!X74+'GM資產組'!W74</f>
        <v>0</v>
      </c>
    </row>
    <row r="7" spans="1:22" s="203" customFormat="1" ht="16.5">
      <c r="A7" s="201">
        <v>6</v>
      </c>
      <c r="B7" s="202">
        <f t="shared" si="0"/>
        <v>6106.4</v>
      </c>
      <c r="C7" s="202">
        <f>'AZ'!D75+'GS事務組'!E75+'GM資產組'!D75</f>
        <v>1908.3</v>
      </c>
      <c r="D7" s="202">
        <f>'AZ'!E75+'GS事務組'!F75+'GM資產組'!E75</f>
        <v>0</v>
      </c>
      <c r="E7" s="202">
        <f>'AZ'!F75+'GS事務組'!G75+'GM資產組'!F75</f>
        <v>192.5</v>
      </c>
      <c r="F7" s="202">
        <f>'AZ'!G75+'GS事務組'!H75+'GM資產組'!G75</f>
        <v>768</v>
      </c>
      <c r="G7" s="202">
        <f>'AZ'!H75+'GS事務組'!I75+'GM資產組'!H75</f>
        <v>0</v>
      </c>
      <c r="H7" s="202">
        <f>'AZ'!I75+'GS事務組'!J75+'GM資產組'!I75</f>
        <v>494.6</v>
      </c>
      <c r="I7" s="202">
        <f>'AZ'!J75+'GS事務組'!K75+'GM資產組'!J75</f>
        <v>0</v>
      </c>
      <c r="J7" s="202">
        <f>'AZ'!K75+'GS事務組'!L75+'GM資產組'!K75</f>
        <v>0</v>
      </c>
      <c r="K7" s="202">
        <f>'AZ'!L75+'GS事務組'!M75+'GM資產組'!L75</f>
        <v>0</v>
      </c>
      <c r="L7" s="202">
        <f>'AZ'!M75+'GS事務組'!N75+'GM資產組'!M75</f>
        <v>1980</v>
      </c>
      <c r="M7" s="202">
        <f>'AZ'!N75+'GS事務組'!O75+'GM資產組'!N75</f>
        <v>0</v>
      </c>
      <c r="N7" s="202">
        <f>'AZ'!O75+'GS事務組'!P75+'GM資產組'!O75</f>
        <v>762</v>
      </c>
      <c r="O7" s="202">
        <f>'AZ'!P75+'GS事務組'!Q75+'GM資產組'!P75</f>
        <v>0</v>
      </c>
      <c r="P7" s="202">
        <f>'AZ'!Q75+'GS事務組'!R75+'GM資產組'!Q75</f>
        <v>0</v>
      </c>
      <c r="Q7" s="202">
        <f>'AZ'!R75+'GS事務組'!S75+'GM資產組'!R75</f>
        <v>0</v>
      </c>
      <c r="R7" s="202">
        <f>'AZ'!S75+'GS事務組'!T75+'GM資產組'!S75</f>
        <v>0</v>
      </c>
      <c r="S7" s="202">
        <f>'AZ'!T75+'GS事務組'!U75+'GM資產組'!T75</f>
        <v>0</v>
      </c>
      <c r="T7" s="202">
        <f>'AZ'!U75+'GS事務組'!V75+'GM資產組'!U75</f>
        <v>0</v>
      </c>
      <c r="U7" s="202">
        <f>'AZ'!V75+'GS事務組'!W75+'GM資產組'!V75</f>
        <v>1</v>
      </c>
      <c r="V7" s="205">
        <f>'AZ'!W75+'GS事務組'!X75+'GM資產組'!W75</f>
        <v>0</v>
      </c>
    </row>
    <row r="8" spans="1:22" s="204" customFormat="1" ht="16.5">
      <c r="A8" s="109">
        <v>7</v>
      </c>
      <c r="B8" s="165">
        <f t="shared" si="0"/>
        <v>1738.1</v>
      </c>
      <c r="C8" s="165">
        <f>'AZ'!D76+'GS事務組'!E76+'GM資產組'!D76</f>
        <v>818.9</v>
      </c>
      <c r="D8" s="165">
        <f>'AZ'!E76+'GS事務組'!F76+'GM資產組'!E76</f>
        <v>0</v>
      </c>
      <c r="E8" s="165">
        <f>'AZ'!F76+'GS事務組'!G76+'GM資產組'!F76</f>
        <v>152.1</v>
      </c>
      <c r="F8" s="165">
        <f>'AZ'!G76+'GS事務組'!H76+'GM資產組'!G76</f>
        <v>0</v>
      </c>
      <c r="G8" s="165">
        <f>'AZ'!H76+'GS事務組'!I76+'GM資產組'!H76</f>
        <v>0</v>
      </c>
      <c r="H8" s="165">
        <f>'AZ'!I76+'GS事務組'!J76+'GM資產組'!I76</f>
        <v>348.1</v>
      </c>
      <c r="I8" s="165">
        <f>'AZ'!J76+'GS事務組'!K76+'GM資產組'!J76</f>
        <v>0</v>
      </c>
      <c r="J8" s="165">
        <f>'AZ'!K76+'GS事務組'!L76+'GM資產組'!K76</f>
        <v>0</v>
      </c>
      <c r="K8" s="165">
        <f>'AZ'!L76+'GS事務組'!M76+'GM資產組'!L76</f>
        <v>0</v>
      </c>
      <c r="L8" s="165">
        <f>'AZ'!M76+'GS事務組'!N76+'GM資產組'!M76</f>
        <v>0</v>
      </c>
      <c r="M8" s="165">
        <f>'AZ'!N76+'GS事務組'!O76+'GM資產組'!N76</f>
        <v>0</v>
      </c>
      <c r="N8" s="165">
        <f>'AZ'!O76+'GS事務組'!P76+'GM資產組'!O76</f>
        <v>418</v>
      </c>
      <c r="O8" s="165">
        <f>'AZ'!P76+'GS事務組'!Q76+'GM資產組'!P76</f>
        <v>0</v>
      </c>
      <c r="P8" s="165">
        <f>'AZ'!Q76+'GS事務組'!R76+'GM資產組'!Q76</f>
        <v>0</v>
      </c>
      <c r="Q8" s="165">
        <f>'AZ'!R76+'GS事務組'!S76+'GM資產組'!R76</f>
        <v>0</v>
      </c>
      <c r="R8" s="165">
        <f>'AZ'!S76+'GS事務組'!T76+'GM資產組'!S76</f>
        <v>0</v>
      </c>
      <c r="S8" s="165">
        <f>'AZ'!T76+'GS事務組'!U76+'GM資產組'!T76</f>
        <v>0</v>
      </c>
      <c r="T8" s="165">
        <f>'AZ'!U76+'GS事務組'!V76+'GM資產組'!U76</f>
        <v>0</v>
      </c>
      <c r="U8" s="165">
        <f>'AZ'!V76+'GS事務組'!W76+'GM資產組'!V76</f>
        <v>1</v>
      </c>
      <c r="V8" s="166">
        <f>'AZ'!W76+'GS事務組'!X76+'GM資產組'!W76</f>
        <v>0</v>
      </c>
    </row>
    <row r="9" spans="1:22" ht="16.5">
      <c r="A9" s="109">
        <v>8</v>
      </c>
      <c r="B9" s="165">
        <f t="shared" si="0"/>
        <v>917.2</v>
      </c>
      <c r="C9" s="165">
        <f>'AZ'!D77+'GS事務組'!E77+'GM資產組'!D77</f>
        <v>460.1</v>
      </c>
      <c r="D9" s="165">
        <f>'AZ'!E77+'GS事務組'!F77+'GM資產組'!E77</f>
        <v>0</v>
      </c>
      <c r="E9" s="165">
        <f>'AZ'!F77+'GS事務組'!G77+'GM資產組'!F77</f>
        <v>88.2</v>
      </c>
      <c r="F9" s="165">
        <f>'AZ'!G77+'GS事務組'!H77+'GM資產組'!G77</f>
        <v>0</v>
      </c>
      <c r="G9" s="165">
        <f>'AZ'!H77+'GS事務組'!I77+'GM資產組'!H77</f>
        <v>0</v>
      </c>
      <c r="H9" s="165">
        <f>'AZ'!I77+'GS事務組'!J77+'GM資產組'!I77</f>
        <v>138.4</v>
      </c>
      <c r="I9" s="165">
        <f>'AZ'!J77+'GS事務組'!K77+'GM資產組'!J77</f>
        <v>0</v>
      </c>
      <c r="J9" s="165">
        <f>'AZ'!K77+'GS事務組'!L77+'GM資產組'!K77</f>
        <v>0</v>
      </c>
      <c r="K9" s="165">
        <f>'AZ'!L77+'GS事務組'!M77+'GM資產組'!L77</f>
        <v>0</v>
      </c>
      <c r="L9" s="165">
        <f>'AZ'!M77+'GS事務組'!N77+'GM資產組'!M77</f>
        <v>70</v>
      </c>
      <c r="M9" s="165">
        <f>'AZ'!N77+'GS事務組'!O77+'GM資產組'!N77</f>
        <v>0</v>
      </c>
      <c r="N9" s="165">
        <f>'AZ'!O77+'GS事務組'!P77+'GM資產組'!O77</f>
        <v>160.5</v>
      </c>
      <c r="O9" s="165">
        <f>'AZ'!P77+'GS事務組'!Q77+'GM資產組'!P77</f>
        <v>0</v>
      </c>
      <c r="P9" s="165">
        <f>'AZ'!Q77+'GS事務組'!R77+'GM資產組'!Q77</f>
        <v>0</v>
      </c>
      <c r="Q9" s="165">
        <f>'AZ'!R77+'GS事務組'!S77+'GM資產組'!R77</f>
        <v>0</v>
      </c>
      <c r="R9" s="165">
        <f>'AZ'!S77+'GS事務組'!T77+'GM資產組'!S77</f>
        <v>0</v>
      </c>
      <c r="S9" s="165">
        <f>'AZ'!T77+'GS事務組'!U77+'GM資產組'!T77</f>
        <v>0</v>
      </c>
      <c r="T9" s="165">
        <f>'AZ'!U77+'GS事務組'!V77+'GM資產組'!U77</f>
        <v>0</v>
      </c>
      <c r="U9" s="165">
        <f>'AZ'!V77+'GS事務組'!W77+'GM資產組'!V77</f>
        <v>0</v>
      </c>
      <c r="V9" s="166">
        <f>'AZ'!W77+'GS事務組'!X77+'GM資產組'!W77</f>
        <v>0</v>
      </c>
    </row>
    <row r="10" spans="1:22" ht="16.5">
      <c r="A10" s="109">
        <v>9</v>
      </c>
      <c r="B10" s="165">
        <f t="shared" si="0"/>
        <v>5886.9</v>
      </c>
      <c r="C10" s="165">
        <f>'AZ'!D78+'GS事務組'!E78+'GM資產組'!D78</f>
        <v>1241.6</v>
      </c>
      <c r="D10" s="165">
        <f>'AZ'!E78+'GS事務組'!F78+'GM資產組'!E78</f>
        <v>0</v>
      </c>
      <c r="E10" s="165">
        <f>'AZ'!F78+'GS事務組'!G78+'GM資產組'!F78</f>
        <v>104.8</v>
      </c>
      <c r="F10" s="165">
        <f>'AZ'!G78+'GS事務組'!H78+'GM資產組'!G78</f>
        <v>3000</v>
      </c>
      <c r="G10" s="165">
        <f>'AZ'!H78+'GS事務組'!I78+'GM資產組'!H78</f>
        <v>0</v>
      </c>
      <c r="H10" s="165">
        <f>'AZ'!I78+'GS事務組'!J78+'GM資產組'!I78</f>
        <v>358.4</v>
      </c>
      <c r="I10" s="165">
        <f>'AZ'!J78+'GS事務組'!K78+'GM資產組'!J78</f>
        <v>0</v>
      </c>
      <c r="J10" s="165">
        <f>'AZ'!K78+'GS事務組'!L78+'GM資產組'!K78</f>
        <v>0</v>
      </c>
      <c r="K10" s="165">
        <f>'AZ'!L78+'GS事務組'!M78+'GM資產組'!L78</f>
        <v>72</v>
      </c>
      <c r="L10" s="165">
        <f>'AZ'!M78+'GS事務組'!N78+'GM資產組'!M78</f>
        <v>500</v>
      </c>
      <c r="M10" s="165">
        <f>'AZ'!N78+'GS事務組'!O78+'GM資產組'!N78</f>
        <v>0</v>
      </c>
      <c r="N10" s="165">
        <f>'AZ'!O78+'GS事務組'!P78+'GM資產組'!O78</f>
        <v>610.1</v>
      </c>
      <c r="O10" s="165">
        <f>'AZ'!P78+'GS事務組'!Q78+'GM資產組'!P78</f>
        <v>0</v>
      </c>
      <c r="P10" s="165">
        <f>'AZ'!Q78+'GS事務組'!R78+'GM資產組'!Q78</f>
        <v>0</v>
      </c>
      <c r="Q10" s="165">
        <f>'AZ'!R78+'GS事務組'!S78+'GM資產組'!R78</f>
        <v>0</v>
      </c>
      <c r="R10" s="165">
        <f>'AZ'!S78+'GS事務組'!T78+'GM資產組'!S78</f>
        <v>0</v>
      </c>
      <c r="S10" s="165">
        <f>'AZ'!T78+'GS事務組'!U78+'GM資產組'!T78</f>
        <v>0</v>
      </c>
      <c r="T10" s="165">
        <f>'AZ'!U78+'GS事務組'!V78+'GM資產組'!U78</f>
        <v>0</v>
      </c>
      <c r="U10" s="165">
        <f>'AZ'!V78+'GS事務組'!W78+'GM資產組'!V78</f>
        <v>0</v>
      </c>
      <c r="V10" s="166">
        <f>'AZ'!W78+'GS事務組'!X78+'GM資產組'!W78</f>
        <v>875</v>
      </c>
    </row>
    <row r="11" spans="1:22" ht="16.5">
      <c r="A11" s="109">
        <v>10</v>
      </c>
      <c r="B11" s="165">
        <f t="shared" si="0"/>
        <v>5340.1</v>
      </c>
      <c r="C11" s="165">
        <f>'AZ'!D79+'GS事務組'!E79+'GM資產組'!D79</f>
        <v>2239.2</v>
      </c>
      <c r="D11" s="165">
        <f>'AZ'!E79+'GS事務組'!F79+'GM資產組'!E79</f>
        <v>0</v>
      </c>
      <c r="E11" s="165">
        <f>'AZ'!F79+'GS事務組'!G79+'GM資產組'!F79</f>
        <v>198.3</v>
      </c>
      <c r="F11" s="165">
        <f>'AZ'!G79+'GS事務組'!H79+'GM資產組'!G79</f>
        <v>1200</v>
      </c>
      <c r="G11" s="165">
        <f>'AZ'!H79+'GS事務組'!I79+'GM資產組'!H79</f>
        <v>0</v>
      </c>
      <c r="H11" s="165">
        <f>'AZ'!I79+'GS事務組'!J79+'GM資產組'!I79</f>
        <v>556.5</v>
      </c>
      <c r="I11" s="165">
        <f>'AZ'!J79+'GS事務組'!K79+'GM資產組'!J79</f>
        <v>0</v>
      </c>
      <c r="J11" s="165">
        <f>'AZ'!K79+'GS事務組'!L79+'GM資產組'!K79</f>
        <v>0</v>
      </c>
      <c r="K11" s="165">
        <f>'AZ'!L79+'GS事務組'!M79+'GM資產組'!L79</f>
        <v>6</v>
      </c>
      <c r="L11" s="165">
        <f>'AZ'!M79+'GS事務組'!N79+'GM資產組'!M79</f>
        <v>41</v>
      </c>
      <c r="M11" s="165">
        <f>'AZ'!N79+'GS事務組'!O79+'GM資產組'!N79</f>
        <v>0</v>
      </c>
      <c r="N11" s="165">
        <f>'AZ'!O79+'GS事務組'!P79+'GM資產組'!O79</f>
        <v>1099.1</v>
      </c>
      <c r="O11" s="165">
        <f>'AZ'!P79+'GS事務組'!Q79+'GM資產組'!P79</f>
        <v>0</v>
      </c>
      <c r="P11" s="165">
        <f>'AZ'!Q79+'GS事務組'!R79+'GM資產組'!Q79</f>
        <v>0</v>
      </c>
      <c r="Q11" s="165">
        <f>'AZ'!R79+'GS事務組'!S79+'GM資產組'!R79</f>
        <v>0</v>
      </c>
      <c r="R11" s="165">
        <f>'AZ'!S79+'GS事務組'!T79+'GM資產組'!S79</f>
        <v>0</v>
      </c>
      <c r="S11" s="165">
        <f>'AZ'!T79+'GS事務組'!U79+'GM資產組'!T79</f>
        <v>0</v>
      </c>
      <c r="T11" s="165">
        <f>'AZ'!U79+'GS事務組'!V79+'GM資產組'!U79</f>
        <v>0</v>
      </c>
      <c r="U11" s="165">
        <f>'AZ'!V79+'GS事務組'!W79+'GM資產組'!V79</f>
        <v>0</v>
      </c>
      <c r="V11" s="166">
        <f>'AZ'!W79+'GS事務組'!X79+'GM資產組'!W79</f>
        <v>0</v>
      </c>
    </row>
    <row r="12" spans="1:22" ht="16.5">
      <c r="A12" s="109">
        <v>11</v>
      </c>
      <c r="B12" s="165">
        <f t="shared" si="0"/>
        <v>4301.5</v>
      </c>
      <c r="C12" s="165">
        <f>'AZ'!D80+'GS事務組'!E85+'GM資產組'!D80</f>
        <v>1909.1</v>
      </c>
      <c r="D12" s="165">
        <f>'AZ'!E80+'GS事務組'!F85+'GM資產組'!E80</f>
        <v>0</v>
      </c>
      <c r="E12" s="165">
        <f>'AZ'!F80+'GS事務組'!G85+'GM資產組'!F80</f>
        <v>151</v>
      </c>
      <c r="F12" s="165">
        <f>'AZ'!G80+'GS事務組'!H85+'GM資產組'!G80</f>
        <v>1000</v>
      </c>
      <c r="G12" s="165">
        <f>'AZ'!H80+'GS事務組'!I85+'GM資產組'!H80</f>
        <v>0</v>
      </c>
      <c r="H12" s="165">
        <f>'AZ'!I80+'GS事務組'!J85+'GM資產組'!I80</f>
        <v>428.9</v>
      </c>
      <c r="I12" s="165">
        <f>'AZ'!J80+'GS事務組'!K85+'GM資產組'!J80</f>
        <v>0</v>
      </c>
      <c r="J12" s="165">
        <f>'AZ'!K80+'GS事務組'!L85+'GM資產組'!K80</f>
        <v>0</v>
      </c>
      <c r="K12" s="165">
        <f>'AZ'!L80+'GS事務組'!M85+'GM資產組'!L80</f>
        <v>11</v>
      </c>
      <c r="L12" s="165">
        <f>'AZ'!M80+'GS事務組'!N85+'GM資產組'!M80</f>
        <v>20</v>
      </c>
      <c r="M12" s="165">
        <f>'AZ'!N80+'GS事務組'!O85+'GM資產組'!N80</f>
        <v>0</v>
      </c>
      <c r="N12" s="165">
        <f>'AZ'!O80+'GS事務組'!P85+'GM資產組'!O80</f>
        <v>781.5</v>
      </c>
      <c r="O12" s="165">
        <f>'AZ'!P80+'GS事務組'!Q85+'GM資產組'!P80</f>
        <v>0</v>
      </c>
      <c r="P12" s="165">
        <f>'AZ'!Q80+'GS事務組'!R85+'GM資產組'!Q80</f>
        <v>0</v>
      </c>
      <c r="Q12" s="165">
        <f>'AZ'!R80+'GS事務組'!S85+'GM資產組'!R80</f>
        <v>0</v>
      </c>
      <c r="R12" s="165">
        <f>'AZ'!S80+'GS事務組'!T85+'GM資產組'!S80</f>
        <v>0</v>
      </c>
      <c r="S12" s="165">
        <f>'AZ'!T80+'GS事務組'!U85+'GM資產組'!T80</f>
        <v>0</v>
      </c>
      <c r="T12" s="165">
        <f>'AZ'!U80+'GS事務組'!V85+'GM資產組'!U80</f>
        <v>0</v>
      </c>
      <c r="U12" s="165">
        <f>'AZ'!V80+'GS事務組'!W85+'GM資產組'!V80</f>
        <v>0</v>
      </c>
      <c r="V12" s="166">
        <f>'AZ'!W80+'GS事務組'!X80+'GM資產組'!W80</f>
        <v>0</v>
      </c>
    </row>
    <row r="13" spans="1:22" ht="17.25" thickBot="1">
      <c r="A13" s="113">
        <v>12</v>
      </c>
      <c r="B13" s="165">
        <f t="shared" si="0"/>
        <v>4031.3</v>
      </c>
      <c r="C13" s="165">
        <f>'AZ'!D81+'GS事務組'!E81+'GM資產組'!D81</f>
        <v>1838.2</v>
      </c>
      <c r="D13" s="165">
        <f>'AZ'!E81+'GS事務組'!F81+'GM資產組'!E81</f>
        <v>0</v>
      </c>
      <c r="E13" s="165">
        <f>'AZ'!F81+'GS事務組'!G81+'GM資產組'!F81</f>
        <v>182.9</v>
      </c>
      <c r="F13" s="165">
        <f>'AZ'!G81+'GS事務組'!H81+'GM資產組'!G81</f>
        <v>900</v>
      </c>
      <c r="G13" s="165">
        <f>'AZ'!H81+'GS事務組'!I81+'GM資產組'!H81</f>
        <v>0</v>
      </c>
      <c r="H13" s="165">
        <f>'AZ'!I81+'GS事務組'!J81+'GM資產組'!I81</f>
        <v>441.2</v>
      </c>
      <c r="I13" s="165">
        <f>'AZ'!J81+'GS事務組'!K81+'GM資產組'!J81</f>
        <v>0</v>
      </c>
      <c r="J13" s="165">
        <f>'AZ'!K81+'GS事務組'!L81+'GM資產組'!K81</f>
        <v>0</v>
      </c>
      <c r="K13" s="165">
        <f>'AZ'!L81+'GS事務組'!M81+'GM資產組'!L81</f>
        <v>15</v>
      </c>
      <c r="L13" s="165">
        <f>'AZ'!M81+'GS事務組'!N81+'GM資產組'!M81</f>
        <v>25</v>
      </c>
      <c r="M13" s="165">
        <f>'AZ'!N81+'GS事務組'!O81+'GM資產組'!N81</f>
        <v>0</v>
      </c>
      <c r="N13" s="165">
        <f>'AZ'!O81+'GS事務組'!P81+'GM資產組'!O81</f>
        <v>628</v>
      </c>
      <c r="O13" s="165">
        <f>'AZ'!P81+'GS事務組'!Q81+'GM資產組'!P81</f>
        <v>0</v>
      </c>
      <c r="P13" s="165">
        <f>'AZ'!Q81+'GS事務組'!R81+'GM資產組'!Q81</f>
        <v>0</v>
      </c>
      <c r="Q13" s="165">
        <f>'AZ'!R81+'GS事務組'!S81+'GM資產組'!R81</f>
        <v>0</v>
      </c>
      <c r="R13" s="165">
        <f>'AZ'!S81+'GS事務組'!T81+'GM資產組'!S81</f>
        <v>0</v>
      </c>
      <c r="S13" s="165">
        <f>'AZ'!T81+'GS事務組'!U81+'GM資產組'!T81</f>
        <v>0</v>
      </c>
      <c r="T13" s="165">
        <f>'AZ'!U81+'GS事務組'!V81+'GM資產組'!U81</f>
        <v>0</v>
      </c>
      <c r="U13" s="165">
        <f>'AZ'!V81+'GS事務組'!W81+'GM資產組'!V81</f>
        <v>1</v>
      </c>
      <c r="V13" s="200">
        <f>'AZ'!W81+'GS事務組'!X81+'GM資產組'!W81</f>
        <v>0</v>
      </c>
    </row>
    <row r="14" spans="1:22" ht="17.25" thickTop="1">
      <c r="A14" s="114" t="s">
        <v>27</v>
      </c>
      <c r="B14" s="167">
        <f aca="true" t="shared" si="1" ref="B14:V14">SUM(B2:B13)</f>
        <v>53786.299999999996</v>
      </c>
      <c r="C14" s="167">
        <f t="shared" si="1"/>
        <v>20485.6</v>
      </c>
      <c r="D14" s="167">
        <f t="shared" si="1"/>
        <v>0</v>
      </c>
      <c r="E14" s="167">
        <f t="shared" si="1"/>
        <v>1767.1</v>
      </c>
      <c r="F14" s="167">
        <f t="shared" si="1"/>
        <v>12486</v>
      </c>
      <c r="G14" s="167">
        <f t="shared" si="1"/>
        <v>0</v>
      </c>
      <c r="H14" s="167">
        <f t="shared" si="1"/>
        <v>5477.4</v>
      </c>
      <c r="I14" s="167">
        <f t="shared" si="1"/>
        <v>0</v>
      </c>
      <c r="J14" s="167">
        <f t="shared" si="1"/>
        <v>0</v>
      </c>
      <c r="K14" s="167">
        <f t="shared" si="1"/>
        <v>104</v>
      </c>
      <c r="L14" s="167">
        <f t="shared" si="1"/>
        <v>5468</v>
      </c>
      <c r="M14" s="167">
        <f t="shared" si="1"/>
        <v>0</v>
      </c>
      <c r="N14" s="167">
        <f t="shared" si="1"/>
        <v>7993.700000000001</v>
      </c>
      <c r="O14" s="167">
        <f t="shared" si="1"/>
        <v>0</v>
      </c>
      <c r="P14" s="167">
        <f t="shared" si="1"/>
        <v>0</v>
      </c>
      <c r="Q14" s="167">
        <f t="shared" si="1"/>
        <v>0</v>
      </c>
      <c r="R14" s="167">
        <f t="shared" si="1"/>
        <v>0</v>
      </c>
      <c r="S14" s="167">
        <f t="shared" si="1"/>
        <v>0</v>
      </c>
      <c r="T14" s="167">
        <f t="shared" si="1"/>
        <v>0</v>
      </c>
      <c r="U14" s="167">
        <f t="shared" si="1"/>
        <v>4.5</v>
      </c>
      <c r="V14" s="168">
        <f t="shared" si="1"/>
        <v>5145</v>
      </c>
    </row>
    <row r="15" spans="1:22" ht="30.75" thickBot="1">
      <c r="A15" s="117" t="s">
        <v>48</v>
      </c>
      <c r="B15" s="169">
        <f aca="true" t="shared" si="2" ref="B15:V15">B14/12</f>
        <v>4482.191666666667</v>
      </c>
      <c r="C15" s="169">
        <f t="shared" si="2"/>
        <v>1707.1333333333332</v>
      </c>
      <c r="D15" s="169">
        <f t="shared" si="2"/>
        <v>0</v>
      </c>
      <c r="E15" s="169">
        <f t="shared" si="2"/>
        <v>147.25833333333333</v>
      </c>
      <c r="F15" s="169">
        <f t="shared" si="2"/>
        <v>1040.5</v>
      </c>
      <c r="G15" s="169">
        <f t="shared" si="2"/>
        <v>0</v>
      </c>
      <c r="H15" s="169">
        <f t="shared" si="2"/>
        <v>456.45</v>
      </c>
      <c r="I15" s="169">
        <f t="shared" si="2"/>
        <v>0</v>
      </c>
      <c r="J15" s="169">
        <f t="shared" si="2"/>
        <v>0</v>
      </c>
      <c r="K15" s="169">
        <f t="shared" si="2"/>
        <v>8.666666666666666</v>
      </c>
      <c r="L15" s="169">
        <f t="shared" si="2"/>
        <v>455.6666666666667</v>
      </c>
      <c r="M15" s="169">
        <f t="shared" si="2"/>
        <v>0</v>
      </c>
      <c r="N15" s="169">
        <f t="shared" si="2"/>
        <v>666.1416666666668</v>
      </c>
      <c r="O15" s="169">
        <f t="shared" si="2"/>
        <v>0</v>
      </c>
      <c r="P15" s="169">
        <f t="shared" si="2"/>
        <v>0</v>
      </c>
      <c r="Q15" s="169">
        <f t="shared" si="2"/>
        <v>0</v>
      </c>
      <c r="R15" s="169">
        <f t="shared" si="2"/>
        <v>0</v>
      </c>
      <c r="S15" s="169">
        <f t="shared" si="2"/>
        <v>0</v>
      </c>
      <c r="T15" s="169">
        <f t="shared" si="2"/>
        <v>0</v>
      </c>
      <c r="U15" s="169">
        <f t="shared" si="2"/>
        <v>0.375</v>
      </c>
      <c r="V15" s="170">
        <f t="shared" si="2"/>
        <v>428.75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V15"/>
  <sheetViews>
    <sheetView zoomScalePageLayoutView="0" workbookViewId="0" topLeftCell="A1">
      <selection activeCell="N9" sqref="N9:N13"/>
    </sheetView>
  </sheetViews>
  <sheetFormatPr defaultColWidth="9.00390625" defaultRowHeight="16.5"/>
  <cols>
    <col min="2" max="2" width="9.375" style="0" bestFit="1" customWidth="1"/>
  </cols>
  <sheetData>
    <row r="1" spans="1:22" ht="60">
      <c r="A1" s="136" t="s">
        <v>143</v>
      </c>
      <c r="B1" s="137" t="s">
        <v>50</v>
      </c>
      <c r="C1" s="137" t="s">
        <v>2</v>
      </c>
      <c r="D1" s="137" t="s">
        <v>3</v>
      </c>
      <c r="E1" s="137" t="s">
        <v>4</v>
      </c>
      <c r="F1" s="137" t="s">
        <v>20</v>
      </c>
      <c r="G1" s="137" t="s">
        <v>36</v>
      </c>
      <c r="H1" s="137" t="s">
        <v>21</v>
      </c>
      <c r="I1" s="137" t="s">
        <v>22</v>
      </c>
      <c r="J1" s="137" t="s">
        <v>9</v>
      </c>
      <c r="K1" s="137" t="s">
        <v>10</v>
      </c>
      <c r="L1" s="137" t="s">
        <v>11</v>
      </c>
      <c r="M1" s="137" t="s">
        <v>12</v>
      </c>
      <c r="N1" s="137" t="s">
        <v>13</v>
      </c>
      <c r="O1" s="137" t="s">
        <v>14</v>
      </c>
      <c r="P1" s="137" t="s">
        <v>15</v>
      </c>
      <c r="Q1" s="137" t="s">
        <v>23</v>
      </c>
      <c r="R1" s="137" t="s">
        <v>60</v>
      </c>
      <c r="S1" s="137" t="s">
        <v>54</v>
      </c>
      <c r="T1" s="137" t="s">
        <v>25</v>
      </c>
      <c r="U1" s="137" t="s">
        <v>26</v>
      </c>
      <c r="V1" s="138" t="s">
        <v>49</v>
      </c>
    </row>
    <row r="2" spans="1:22" ht="16.5">
      <c r="A2" s="109">
        <v>1</v>
      </c>
      <c r="B2" s="165">
        <f>SUM(C2:U2)</f>
        <v>3817.5</v>
      </c>
      <c r="C2" s="165">
        <f>'AZ'!D82+'GS事務組'!E82+'GM資產組'!D82</f>
        <v>1368.6</v>
      </c>
      <c r="D2" s="165">
        <f>'AZ'!E82+'GS事務組'!F82+'GM資產組'!E82</f>
        <v>0</v>
      </c>
      <c r="E2" s="165">
        <f>'AZ'!F82+'GS事務組'!G82+'GM資產組'!F82</f>
        <v>128.5</v>
      </c>
      <c r="F2" s="165">
        <f>'AZ'!G82+'GS事務組'!H82+'GM資產組'!G82</f>
        <v>1500</v>
      </c>
      <c r="G2" s="165">
        <f>'AZ'!H82+'GS事務組'!I82+'GM資產組'!H82</f>
        <v>0</v>
      </c>
      <c r="H2" s="165">
        <f>'AZ'!I82+'GS事務組'!J82+'GM資產組'!I82</f>
        <v>291.9</v>
      </c>
      <c r="I2" s="165">
        <f>'AZ'!J82+'GS事務組'!K82+'GM資產組'!J82</f>
        <v>0</v>
      </c>
      <c r="J2" s="165">
        <f>'AZ'!K82+'GS事務組'!L82+'GM資產組'!K82</f>
        <v>0</v>
      </c>
      <c r="K2" s="165">
        <f>'AZ'!L82+'GS事務組'!M82+'GM資產組'!L82</f>
        <v>30</v>
      </c>
      <c r="L2" s="165">
        <f>'AZ'!M82+'GS事務組'!N82+'GM資產組'!M82</f>
        <v>60</v>
      </c>
      <c r="M2" s="165">
        <f>'AZ'!N82+'GS事務組'!O82+'GM資產組'!N82</f>
        <v>0</v>
      </c>
      <c r="N2" s="165">
        <f>'AZ'!O82+'GS事務組'!P82+'GM資產組'!O82</f>
        <v>438.5</v>
      </c>
      <c r="O2" s="165">
        <f>'AZ'!P82+'GS事務組'!Q82+'GM資產組'!P82</f>
        <v>0</v>
      </c>
      <c r="P2" s="165">
        <f>'AZ'!Q82+'GS事務組'!R82+'GM資產組'!Q82</f>
        <v>0</v>
      </c>
      <c r="Q2" s="165">
        <f>'AZ'!R82+'GS事務組'!S82+'GM資產組'!R82</f>
        <v>0</v>
      </c>
      <c r="R2" s="165">
        <f>'AZ'!S82+'GS事務組'!T82+'GM資產組'!S82</f>
        <v>0</v>
      </c>
      <c r="S2" s="165">
        <f>'AZ'!T82+'GS事務組'!U82+'GM資產組'!T82</f>
        <v>0</v>
      </c>
      <c r="T2" s="165">
        <f>'AZ'!U82+'GS事務組'!V82+'GM資產組'!U82</f>
        <v>0</v>
      </c>
      <c r="U2" s="165">
        <f>'AZ'!V82+'GS事務組'!W82+'GM資產組'!V82</f>
        <v>0</v>
      </c>
      <c r="V2" s="166">
        <f>'AZ'!W82+'GS事務組'!X82+'GM資產組'!W82</f>
        <v>0</v>
      </c>
    </row>
    <row r="3" spans="1:22" ht="16.5">
      <c r="A3" s="109">
        <v>2</v>
      </c>
      <c r="B3" s="165">
        <f aca="true" t="shared" si="0" ref="B3:B13">SUM(C3:U3)</f>
        <v>764.6</v>
      </c>
      <c r="C3" s="165">
        <f>'AZ'!D83+'GS事務組'!E83+'GM資產組'!D83</f>
        <v>265.2</v>
      </c>
      <c r="D3" s="165">
        <f>'AZ'!E83+'GS事務組'!F83+'GM資產組'!E83</f>
        <v>0</v>
      </c>
      <c r="E3" s="165">
        <f>'AZ'!F83+'GS事務組'!G83+'GM資產組'!F83</f>
        <v>21.2</v>
      </c>
      <c r="F3" s="165">
        <f>'AZ'!G83+'GS事務組'!H83+'GM資產組'!G83</f>
        <v>310</v>
      </c>
      <c r="G3" s="165">
        <f>'AZ'!H83+'GS事務組'!I83+'GM資產組'!H83</f>
        <v>0</v>
      </c>
      <c r="H3" s="165">
        <f>'AZ'!I83+'GS事務組'!J83+'GM資產組'!I83</f>
        <v>45.2</v>
      </c>
      <c r="I3" s="165">
        <f>'AZ'!J83+'GS事務組'!K83+'GM資產組'!J83</f>
        <v>0</v>
      </c>
      <c r="J3" s="165">
        <f>'AZ'!K83+'GS事務組'!L83+'GM資產組'!K83</f>
        <v>0</v>
      </c>
      <c r="K3" s="165">
        <f>'AZ'!L83+'GS事務組'!M83+'GM資產組'!L83</f>
        <v>6</v>
      </c>
      <c r="L3" s="165">
        <f>'AZ'!M83+'GS事務組'!N83+'GM資產組'!M83</f>
        <v>40</v>
      </c>
      <c r="M3" s="165">
        <f>'AZ'!N83+'GS事務組'!O83+'GM資產組'!N83</f>
        <v>0</v>
      </c>
      <c r="N3" s="165">
        <f>'AZ'!O83+'GS事務組'!P83+'GM資產組'!O83</f>
        <v>76</v>
      </c>
      <c r="O3" s="165">
        <f>'AZ'!P83+'GS事務組'!Q83+'GM資產組'!P83</f>
        <v>0</v>
      </c>
      <c r="P3" s="165">
        <f>'AZ'!Q83+'GS事務組'!R83+'GM資產組'!Q83</f>
        <v>0</v>
      </c>
      <c r="Q3" s="165">
        <f>'AZ'!R83+'GS事務組'!S83+'GM資產組'!R83</f>
        <v>0</v>
      </c>
      <c r="R3" s="165">
        <f>'AZ'!S83+'GS事務組'!T83+'GM資產組'!S83</f>
        <v>0</v>
      </c>
      <c r="S3" s="165">
        <f>'AZ'!T83+'GS事務組'!U83+'GM資產組'!T83</f>
        <v>0</v>
      </c>
      <c r="T3" s="165">
        <f>'AZ'!U83+'GS事務組'!V83+'GM資產組'!U83</f>
        <v>0</v>
      </c>
      <c r="U3" s="165">
        <f>'AZ'!V83+'GS事務組'!W83+'GM資產組'!V83</f>
        <v>1</v>
      </c>
      <c r="V3" s="166">
        <f>'AZ'!W83+'GS事務組'!X83+'GM資產組'!W83</f>
        <v>0</v>
      </c>
    </row>
    <row r="4" spans="1:22" ht="16.5">
      <c r="A4" s="109">
        <v>3</v>
      </c>
      <c r="B4" s="165">
        <f t="shared" si="0"/>
        <v>3599.5</v>
      </c>
      <c r="C4" s="165">
        <f>'AZ'!D84+'GS事務組'!E84+'GM資產組'!D84</f>
        <v>1849.7</v>
      </c>
      <c r="D4" s="165">
        <f>'AZ'!E84+'GS事務組'!F84+'GM資產組'!E84</f>
        <v>0</v>
      </c>
      <c r="E4" s="165">
        <f>'AZ'!F84+'GS事務組'!G84+'GM資產組'!F84</f>
        <v>156</v>
      </c>
      <c r="F4" s="165">
        <f>'AZ'!G84+'GS事務組'!H84+'GM資產組'!G84</f>
        <v>400</v>
      </c>
      <c r="G4" s="165">
        <f>'AZ'!H84+'GS事務組'!I84+'GM資產組'!H84</f>
        <v>0</v>
      </c>
      <c r="H4" s="165">
        <f>'AZ'!I84+'GS事務組'!J84+'GM資產組'!I84</f>
        <v>419.6</v>
      </c>
      <c r="I4" s="165">
        <f>'AZ'!J84+'GS事務組'!K84+'GM資產組'!J84</f>
        <v>0</v>
      </c>
      <c r="J4" s="165">
        <f>'AZ'!K84+'GS事務組'!L84+'GM資產組'!K84</f>
        <v>0</v>
      </c>
      <c r="K4" s="165">
        <f>'AZ'!L84+'GS事務組'!M84+'GM資產組'!L84</f>
        <v>26</v>
      </c>
      <c r="L4" s="165">
        <f>'AZ'!M84+'GS事務組'!N84+'GM資產組'!M84</f>
        <v>30</v>
      </c>
      <c r="M4" s="165">
        <f>'AZ'!N84+'GS事務組'!O84+'GM資產組'!N84</f>
        <v>0</v>
      </c>
      <c r="N4" s="165">
        <f>'AZ'!O84+'GS事務組'!P84+'GM資產組'!O84</f>
        <v>718.2</v>
      </c>
      <c r="O4" s="165">
        <f>'AZ'!P84+'GS事務組'!Q84+'GM資產組'!P84</f>
        <v>0</v>
      </c>
      <c r="P4" s="165">
        <f>'AZ'!Q84+'GS事務組'!R84+'GM資產組'!Q84</f>
        <v>0</v>
      </c>
      <c r="Q4" s="165">
        <f>'AZ'!R84+'GS事務組'!S84+'GM資產組'!R84</f>
        <v>0</v>
      </c>
      <c r="R4" s="165">
        <f>'AZ'!S84+'GS事務組'!T84+'GM資產組'!S84</f>
        <v>0</v>
      </c>
      <c r="S4" s="165">
        <f>'AZ'!T84+'GS事務組'!U84+'GM資產組'!T84</f>
        <v>0</v>
      </c>
      <c r="T4" s="165">
        <f>'AZ'!U84+'GS事務組'!V84+'GM資產組'!U84</f>
        <v>0</v>
      </c>
      <c r="U4" s="165">
        <f>'AZ'!V84+'GS事務組'!W84+'GM資產組'!V84</f>
        <v>0</v>
      </c>
      <c r="V4" s="166">
        <f>'AZ'!W84+'GS事務組'!X84+'GM資產組'!W84</f>
        <v>0</v>
      </c>
    </row>
    <row r="5" spans="1:22" ht="16.5">
      <c r="A5" s="109">
        <v>4</v>
      </c>
      <c r="B5" s="165">
        <f>SUM(C5:U5)</f>
        <v>3570.5</v>
      </c>
      <c r="C5" s="165">
        <f>'AZ'!D85+'GS事務組'!E85+'GM資產組'!D85</f>
        <v>1909.1</v>
      </c>
      <c r="D5" s="165">
        <f>'AZ'!E85+'GS事務組'!F85+'GM資產組'!E85</f>
        <v>0</v>
      </c>
      <c r="E5" s="165">
        <f>'AZ'!F85+'GS事務組'!G85+'GM資產組'!F85</f>
        <v>151</v>
      </c>
      <c r="F5" s="165">
        <f>'AZ'!G85+'GS事務組'!H85+'GM資產組'!G85</f>
        <v>300</v>
      </c>
      <c r="G5" s="165">
        <f>'AZ'!H85+'GS事務組'!I85+'GM資產組'!H85</f>
        <v>0</v>
      </c>
      <c r="H5" s="165">
        <f>'AZ'!I85+'GS事務組'!J85+'GM資產組'!I85</f>
        <v>428.9</v>
      </c>
      <c r="I5" s="165">
        <f>'AZ'!J85+'GS事務組'!K85+'GM資產組'!J85</f>
        <v>0</v>
      </c>
      <c r="J5" s="165">
        <f>'AZ'!K85+'GS事務組'!L85+'GM資產組'!K85</f>
        <v>0</v>
      </c>
      <c r="K5" s="165">
        <f>'AZ'!L85+'GS事務組'!M85+'GM資產組'!L85</f>
        <v>0</v>
      </c>
      <c r="L5" s="165">
        <f>'AZ'!M85+'GS事務組'!N85+'GM資產組'!M85</f>
        <v>0</v>
      </c>
      <c r="M5" s="165">
        <f>'AZ'!N85+'GS事務組'!O85+'GM資產組'!N85</f>
        <v>0</v>
      </c>
      <c r="N5" s="165">
        <f>'AZ'!O85+'GS事務組'!P85+'GM資產組'!O85</f>
        <v>781.5</v>
      </c>
      <c r="O5" s="165">
        <f>'AZ'!P85+'GS事務組'!Q85+'GM資產組'!P85</f>
        <v>0</v>
      </c>
      <c r="P5" s="165">
        <f>'AZ'!Q85+'GS事務組'!R85+'GM資產組'!Q85</f>
        <v>0</v>
      </c>
      <c r="Q5" s="165">
        <f>'AZ'!R85+'GS事務組'!S85+'GM資產組'!R85</f>
        <v>0</v>
      </c>
      <c r="R5" s="165">
        <f>'AZ'!S85+'GS事務組'!T85+'GM資產組'!S85</f>
        <v>0</v>
      </c>
      <c r="S5" s="165">
        <f>'AZ'!T85+'GS事務組'!U85+'GM資產組'!T85</f>
        <v>0</v>
      </c>
      <c r="T5" s="165">
        <f>'AZ'!U85+'GS事務組'!V85+'GM資產組'!U85</f>
        <v>0</v>
      </c>
      <c r="U5" s="165">
        <f>'AZ'!V85+'GS事務組'!W85+'GM資產組'!V85</f>
        <v>0</v>
      </c>
      <c r="V5" s="166">
        <f>'AZ'!W85+'GS事務組'!X85+'GM資產組'!W85</f>
        <v>0</v>
      </c>
    </row>
    <row r="6" spans="1:22" ht="16.5">
      <c r="A6" s="109">
        <v>5</v>
      </c>
      <c r="B6" s="165">
        <f t="shared" si="0"/>
        <v>3784.4</v>
      </c>
      <c r="C6" s="165">
        <f>'AZ'!D86+'GS事務組'!E86+'GM資產組'!D86</f>
        <v>2063.6</v>
      </c>
      <c r="D6" s="165">
        <f>'AZ'!E86+'GS事務組'!F86+'GM資產組'!E86</f>
        <v>0</v>
      </c>
      <c r="E6" s="165">
        <f>'AZ'!F86+'GS事務組'!G86+'GM資產組'!F86</f>
        <v>122.6</v>
      </c>
      <c r="F6" s="165">
        <f>'AZ'!G86+'GS事務組'!H86+'GM資產組'!G86</f>
        <v>150</v>
      </c>
      <c r="G6" s="165">
        <f>'AZ'!H86+'GS事務組'!I86+'GM資產組'!H86</f>
        <v>0</v>
      </c>
      <c r="H6" s="165">
        <f>'AZ'!I86+'GS事務組'!J86+'GM資產組'!I86</f>
        <v>478.3</v>
      </c>
      <c r="I6" s="165">
        <f>'AZ'!J86+'GS事務組'!K86+'GM資產組'!J86</f>
        <v>0</v>
      </c>
      <c r="J6" s="165">
        <f>'AZ'!K86+'GS事務組'!L86+'GM資產組'!K86</f>
        <v>0</v>
      </c>
      <c r="K6" s="165">
        <f>'AZ'!L86+'GS事務組'!M86+'GM資產組'!L86</f>
        <v>0</v>
      </c>
      <c r="L6" s="165">
        <f>'AZ'!M86+'GS事務組'!N86+'GM資產組'!M86</f>
        <v>0</v>
      </c>
      <c r="M6" s="165">
        <f>'AZ'!N86+'GS事務組'!O86+'GM資產組'!N86</f>
        <v>0</v>
      </c>
      <c r="N6" s="165">
        <f>'AZ'!O86+'GS事務組'!P86+'GM資產組'!O86</f>
        <v>969.9</v>
      </c>
      <c r="O6" s="165">
        <f>'AZ'!P86+'GS事務組'!Q86+'GM資產組'!P86</f>
        <v>0</v>
      </c>
      <c r="P6" s="165">
        <f>'AZ'!Q86+'GS事務組'!R86+'GM資產組'!Q86</f>
        <v>0</v>
      </c>
      <c r="Q6" s="165">
        <f>'AZ'!R86+'GS事務組'!S86+'GM資產組'!R86</f>
        <v>0</v>
      </c>
      <c r="R6" s="165">
        <f>'AZ'!S86+'GS事務組'!T86+'GM資產組'!S86</f>
        <v>0</v>
      </c>
      <c r="S6" s="165">
        <f>'AZ'!T86+'GS事務組'!U86+'GM資產組'!T86</f>
        <v>0</v>
      </c>
      <c r="T6" s="165">
        <f>'AZ'!U86+'GS事務組'!V86+'GM資產組'!U86</f>
        <v>0</v>
      </c>
      <c r="U6" s="165">
        <f>'AZ'!V86+'GS事務組'!W86+'GM資產組'!V86</f>
        <v>0</v>
      </c>
      <c r="V6" s="166">
        <f>'AZ'!W86+'GS事務組'!X86+'GM資產組'!W86</f>
        <v>0</v>
      </c>
    </row>
    <row r="7" spans="1:22" ht="16.5">
      <c r="A7" s="109">
        <v>6</v>
      </c>
      <c r="B7" s="165">
        <f t="shared" si="0"/>
        <v>3722.9</v>
      </c>
      <c r="C7" s="165">
        <f>'AZ'!D87+'GS事務組'!E87+'GM資產組'!D87</f>
        <v>1938.3</v>
      </c>
      <c r="D7" s="165">
        <f>'AZ'!E87+'GS事務組'!F87+'GM資產組'!E87</f>
        <v>0</v>
      </c>
      <c r="E7" s="165">
        <f>'AZ'!F87+'GS事務組'!G87+'GM資產組'!F87</f>
        <v>158</v>
      </c>
      <c r="F7" s="165">
        <f>'AZ'!G87+'GS事務組'!H87+'GM資產組'!G87</f>
        <v>350</v>
      </c>
      <c r="G7" s="165">
        <f>'AZ'!H87+'GS事務組'!I87+'GM資產組'!H87</f>
        <v>0</v>
      </c>
      <c r="H7" s="165">
        <f>'AZ'!I87+'GS事務組'!J87+'GM資產組'!I87</f>
        <v>447.6</v>
      </c>
      <c r="I7" s="165">
        <f>'AZ'!J87+'GS事務組'!K87+'GM資產組'!J87</f>
        <v>0</v>
      </c>
      <c r="J7" s="165">
        <f>'AZ'!K87+'GS事務組'!L87+'GM資產組'!K87</f>
        <v>0</v>
      </c>
      <c r="K7" s="165">
        <f>'AZ'!L87+'GS事務組'!M87+'GM資產組'!L87</f>
        <v>0</v>
      </c>
      <c r="L7" s="165">
        <f>'AZ'!M87+'GS事務組'!N87+'GM資產組'!M87</f>
        <v>0</v>
      </c>
      <c r="M7" s="165">
        <f>'AZ'!N87+'GS事務組'!O87+'GM資產組'!N87</f>
        <v>0</v>
      </c>
      <c r="N7" s="165">
        <f>'AZ'!O87+'GS事務組'!P87+'GM資產組'!O87</f>
        <v>829</v>
      </c>
      <c r="O7" s="165">
        <f>'AZ'!P87+'GS事務組'!Q87+'GM資產組'!P87</f>
        <v>0</v>
      </c>
      <c r="P7" s="165">
        <f>'AZ'!Q87+'GS事務組'!R87+'GM資產組'!Q87</f>
        <v>0</v>
      </c>
      <c r="Q7" s="165">
        <f>'AZ'!R87+'GS事務組'!S87+'GM資產組'!R87</f>
        <v>0</v>
      </c>
      <c r="R7" s="165">
        <f>'AZ'!S87+'GS事務組'!T87+'GM資產組'!S87</f>
        <v>0</v>
      </c>
      <c r="S7" s="165">
        <f>'AZ'!T87+'GS事務組'!U87+'GM資產組'!T87</f>
        <v>0</v>
      </c>
      <c r="T7" s="165">
        <f>'AZ'!U87+'GS事務組'!V87+'GM資產組'!U87</f>
        <v>0</v>
      </c>
      <c r="U7" s="165">
        <f>'AZ'!V87+'GS事務組'!W87+'GM資產組'!V87</f>
        <v>0</v>
      </c>
      <c r="V7" s="166">
        <f>'AZ'!W87+'GS事務組'!X87+'GM資產組'!W87</f>
        <v>0</v>
      </c>
    </row>
    <row r="8" spans="1:22" ht="16.5">
      <c r="A8" s="109">
        <v>7</v>
      </c>
      <c r="B8" s="165">
        <f t="shared" si="0"/>
        <v>1139.3000000000002</v>
      </c>
      <c r="C8" s="165">
        <f>'AZ'!D88+'GS事務組'!E88+'GM資產組'!D88</f>
        <v>568.2</v>
      </c>
      <c r="D8" s="165">
        <f>'AZ'!E88+'GS事務組'!F88+'GM資產組'!E88</f>
        <v>0</v>
      </c>
      <c r="E8" s="165">
        <f>'AZ'!F88+'GS事務組'!G88+'GM資產組'!F88</f>
        <v>70</v>
      </c>
      <c r="F8" s="165">
        <f>'AZ'!G88+'GS事務組'!H88+'GM資產組'!G88</f>
        <v>250</v>
      </c>
      <c r="G8" s="165">
        <f>'AZ'!H88+'GS事務組'!I88+'GM資產組'!H88</f>
        <v>0</v>
      </c>
      <c r="H8" s="165">
        <f>'AZ'!I88+'GS事務組'!J88+'GM資產組'!I88</f>
        <v>130.1</v>
      </c>
      <c r="I8" s="165">
        <f>'AZ'!J88+'GS事務組'!K88+'GM資產組'!J88</f>
        <v>0</v>
      </c>
      <c r="J8" s="165">
        <f>'AZ'!K88+'GS事務組'!L88+'GM資產組'!K88</f>
        <v>0</v>
      </c>
      <c r="K8" s="165">
        <f>'AZ'!L88+'GS事務組'!M88+'GM資產組'!L88</f>
        <v>0</v>
      </c>
      <c r="L8" s="165">
        <f>'AZ'!M88+'GS事務組'!N88+'GM資產組'!M88</f>
        <v>0</v>
      </c>
      <c r="M8" s="165">
        <f>'AZ'!N88+'GS事務組'!O88+'GM資產組'!N88</f>
        <v>0</v>
      </c>
      <c r="N8" s="165">
        <f>'AZ'!O88+'GS事務組'!P88+'GM資產組'!O88</f>
        <v>121</v>
      </c>
      <c r="O8" s="165">
        <f>'AZ'!P88+'GS事務組'!Q88+'GM資產組'!P88</f>
        <v>0</v>
      </c>
      <c r="P8" s="165">
        <f>'AZ'!Q88+'GS事務組'!R88+'GM資產組'!Q88</f>
        <v>0</v>
      </c>
      <c r="Q8" s="165">
        <f>'AZ'!R88+'GS事務組'!S88+'GM資產組'!R88</f>
        <v>0</v>
      </c>
      <c r="R8" s="165">
        <f>'AZ'!S88+'GS事務組'!T88+'GM資產組'!S88</f>
        <v>0</v>
      </c>
      <c r="S8" s="165">
        <f>'AZ'!T88+'GS事務組'!U88+'GM資產組'!T88</f>
        <v>0</v>
      </c>
      <c r="T8" s="165">
        <f>'AZ'!U88+'GS事務組'!V88+'GM資產組'!U88</f>
        <v>0</v>
      </c>
      <c r="U8" s="165">
        <f>'AZ'!V88+'GS事務組'!W88+'GM資產組'!V88</f>
        <v>0</v>
      </c>
      <c r="V8" s="166">
        <f>'AZ'!W88+'GS事務組'!X88+'GM資產組'!W88</f>
        <v>0</v>
      </c>
    </row>
    <row r="9" spans="1:22" ht="16.5">
      <c r="A9" s="109">
        <v>8</v>
      </c>
      <c r="B9" s="165">
        <f t="shared" si="0"/>
        <v>876.5999999999999</v>
      </c>
      <c r="C9" s="165">
        <f>'AZ'!D89+'GS事務組'!E89+'GM資產組'!D89</f>
        <v>548</v>
      </c>
      <c r="D9" s="165">
        <f>'AZ'!E89+'GS事務組'!F89+'GM資產組'!E89</f>
        <v>0</v>
      </c>
      <c r="E9" s="165">
        <f>'AZ'!F89+'GS事務組'!G89+'GM資產組'!F89</f>
        <v>38.8</v>
      </c>
      <c r="F9" s="165">
        <f>'AZ'!G89+'GS事務組'!H89+'GM資產組'!G89</f>
        <v>0</v>
      </c>
      <c r="G9" s="165">
        <f>'AZ'!H89+'GS事務組'!I89+'GM資產組'!H89</f>
        <v>0</v>
      </c>
      <c r="H9" s="165">
        <f>'AZ'!I89+'GS事務組'!J89+'GM資產組'!I89</f>
        <v>149.3</v>
      </c>
      <c r="I9" s="165">
        <f>'AZ'!J89+'GS事務組'!K89+'GM資產組'!J89</f>
        <v>0</v>
      </c>
      <c r="J9" s="165">
        <f>'AZ'!K89+'GS事務組'!L89+'GM資產組'!K89</f>
        <v>0</v>
      </c>
      <c r="K9" s="165">
        <f>'AZ'!L89+'GS事務組'!M89+'GM資產組'!L89</f>
        <v>0</v>
      </c>
      <c r="L9" s="165">
        <f>'AZ'!M89+'GS事務組'!N89+'GM資產組'!M89</f>
        <v>0</v>
      </c>
      <c r="M9" s="165">
        <f>'AZ'!N89+'GS事務組'!O89+'GM資產組'!N89</f>
        <v>0</v>
      </c>
      <c r="N9" s="165">
        <f>'AZ'!O89+'GS事務組'!P89+'GM資產組'!O89</f>
        <v>140.5</v>
      </c>
      <c r="O9" s="165">
        <f>'AZ'!P89+'GS事務組'!Q89+'GM資產組'!P89</f>
        <v>0</v>
      </c>
      <c r="P9" s="165">
        <f>'AZ'!Q89+'GS事務組'!R89+'GM資產組'!Q89</f>
        <v>0</v>
      </c>
      <c r="Q9" s="165">
        <f>'AZ'!R89+'GS事務組'!S89+'GM資產組'!R89</f>
        <v>0</v>
      </c>
      <c r="R9" s="165">
        <f>'AZ'!S89+'GS事務組'!T89+'GM資產組'!S89</f>
        <v>0</v>
      </c>
      <c r="S9" s="165">
        <f>'AZ'!T89+'GS事務組'!U89+'GM資產組'!T89</f>
        <v>0</v>
      </c>
      <c r="T9" s="165">
        <f>'AZ'!U89+'GS事務組'!V89+'GM資產組'!U89</f>
        <v>0</v>
      </c>
      <c r="U9" s="165">
        <f>'AZ'!V89+'GS事務組'!W89+'GM資產組'!V89</f>
        <v>0</v>
      </c>
      <c r="V9" s="166">
        <f>'AZ'!W89+'GS事務組'!X89+'GM資產組'!W89</f>
        <v>0</v>
      </c>
    </row>
    <row r="10" spans="1:22" ht="16.5">
      <c r="A10" s="109">
        <v>9</v>
      </c>
      <c r="B10" s="165">
        <f t="shared" si="0"/>
        <v>1717.1</v>
      </c>
      <c r="C10" s="165">
        <f>'AZ'!D90+'GS事務組'!E90+'GM資產組'!D90</f>
        <v>875.8</v>
      </c>
      <c r="D10" s="165">
        <f>'AZ'!E90+'GS事務組'!F90+'GM資產組'!E90</f>
        <v>0</v>
      </c>
      <c r="E10" s="165">
        <f>'AZ'!F90+'GS事務組'!G90+'GM資產組'!F90</f>
        <v>96.5</v>
      </c>
      <c r="F10" s="165">
        <f>'AZ'!G90+'GS事務組'!H90+'GM資產組'!G90</f>
        <v>60</v>
      </c>
      <c r="G10" s="165">
        <f>'AZ'!H90+'GS事務組'!I90+'GM資產組'!H90</f>
        <v>0</v>
      </c>
      <c r="H10" s="165">
        <f>'AZ'!I90+'GS事務組'!J90+'GM資產組'!I90</f>
        <v>203.8</v>
      </c>
      <c r="I10" s="165">
        <f>'AZ'!J90+'GS事務組'!K90+'GM資產組'!J90</f>
        <v>0</v>
      </c>
      <c r="J10" s="165">
        <f>'AZ'!K90+'GS事務組'!L90+'GM資產組'!K90</f>
        <v>0</v>
      </c>
      <c r="K10" s="165">
        <f>'AZ'!L90+'GS事務組'!M90+'GM資產組'!L90</f>
        <v>0</v>
      </c>
      <c r="L10" s="165">
        <f>'AZ'!M90+'GS事務組'!N90+'GM資產組'!M90</f>
        <v>0</v>
      </c>
      <c r="M10" s="165">
        <f>'AZ'!N90+'GS事務組'!O90+'GM資產組'!N90</f>
        <v>0</v>
      </c>
      <c r="N10" s="165">
        <f>'AZ'!O90+'GS事務組'!P90+'GM資產組'!O90</f>
        <v>481</v>
      </c>
      <c r="O10" s="165">
        <f>'AZ'!P90+'GS事務組'!Q90+'GM資產組'!P90</f>
        <v>0</v>
      </c>
      <c r="P10" s="165">
        <f>'AZ'!Q90+'GS事務組'!R90+'GM資產組'!Q90</f>
        <v>0</v>
      </c>
      <c r="Q10" s="165">
        <f>'AZ'!R90+'GS事務組'!S90+'GM資產組'!R90</f>
        <v>0</v>
      </c>
      <c r="R10" s="165">
        <f>'AZ'!S90+'GS事務組'!T90+'GM資產組'!S90</f>
        <v>0</v>
      </c>
      <c r="S10" s="165">
        <f>'AZ'!T90+'GS事務組'!U90+'GM資產組'!T90</f>
        <v>0</v>
      </c>
      <c r="T10" s="165">
        <f>'AZ'!U90+'GS事務組'!V90+'GM資產組'!U90</f>
        <v>0</v>
      </c>
      <c r="U10" s="165">
        <f>'AZ'!V90+'GS事務組'!W90+'GM資產組'!V90</f>
        <v>0</v>
      </c>
      <c r="V10" s="166">
        <v>780</v>
      </c>
    </row>
    <row r="11" spans="1:22" ht="16.5">
      <c r="A11" s="109">
        <v>10</v>
      </c>
      <c r="B11" s="165">
        <f t="shared" si="0"/>
        <v>1960.7</v>
      </c>
      <c r="C11" s="165">
        <f>'AZ'!D91+'GS事務組'!E91+'GM資產組'!D91</f>
        <v>498</v>
      </c>
      <c r="D11" s="165">
        <f>'AZ'!E91+'GS事務組'!F91+'GM資產組'!E91</f>
        <v>0</v>
      </c>
      <c r="E11" s="165">
        <f>'AZ'!F91+'GS事務組'!G91+'GM資產組'!F91</f>
        <v>124.4</v>
      </c>
      <c r="F11" s="165">
        <f>'AZ'!G91+'GS事務組'!H91+'GM資產組'!G91</f>
        <v>250</v>
      </c>
      <c r="G11" s="165">
        <f>'AZ'!H91+'GS事務組'!I91+'GM資產組'!H91</f>
        <v>0</v>
      </c>
      <c r="H11" s="165">
        <f>'AZ'!I91+'GS事務組'!J91+'GM資產組'!I91</f>
        <v>423.1</v>
      </c>
      <c r="I11" s="165">
        <f>'AZ'!J91+'GS事務組'!K91+'GM資產組'!J91</f>
        <v>0</v>
      </c>
      <c r="J11" s="165">
        <f>'AZ'!K91+'GS事務組'!L91+'GM資產組'!K91</f>
        <v>0</v>
      </c>
      <c r="K11" s="165">
        <f>'AZ'!L91+'GS事務組'!M91+'GM資產組'!L91</f>
        <v>0</v>
      </c>
      <c r="L11" s="165">
        <f>'AZ'!M91+'GS事務組'!N91+'GM資產組'!M91</f>
        <v>0</v>
      </c>
      <c r="M11" s="165">
        <f>'AZ'!N91+'GS事務組'!O91+'GM資產組'!N91</f>
        <v>0</v>
      </c>
      <c r="N11" s="165">
        <f>'AZ'!O91+'GS事務組'!P91+'GM資產組'!O91</f>
        <v>665.2</v>
      </c>
      <c r="O11" s="165">
        <f>'AZ'!P91+'GS事務組'!Q91+'GM資產組'!P91</f>
        <v>0</v>
      </c>
      <c r="P11" s="165">
        <f>'AZ'!Q91+'GS事務組'!R91+'GM資產組'!Q91</f>
        <v>0</v>
      </c>
      <c r="Q11" s="165">
        <f>'AZ'!R91+'GS事務組'!S91+'GM資產組'!R91</f>
        <v>0</v>
      </c>
      <c r="R11" s="165">
        <f>'AZ'!S91+'GS事務組'!T91+'GM資產組'!S91</f>
        <v>0</v>
      </c>
      <c r="S11" s="165">
        <f>'AZ'!T91+'GS事務組'!U91+'GM資產組'!T91</f>
        <v>0</v>
      </c>
      <c r="T11" s="165">
        <f>'AZ'!U91+'GS事務組'!V91+'GM資產組'!U91</f>
        <v>0</v>
      </c>
      <c r="U11" s="165">
        <f>'AZ'!V91+'GS事務組'!W91+'GM資產組'!V91</f>
        <v>0</v>
      </c>
      <c r="V11" s="166">
        <f>'AZ'!W91+'GS事務組'!X91+'GM資產組'!W91</f>
        <v>0</v>
      </c>
    </row>
    <row r="12" spans="1:22" ht="16.5">
      <c r="A12" s="109">
        <v>11</v>
      </c>
      <c r="B12" s="165">
        <f t="shared" si="0"/>
        <v>5876.299999999999</v>
      </c>
      <c r="C12" s="165">
        <f>'AZ'!D92+'GS事務組'!E92+'GM資產組'!D92</f>
        <v>1826.7</v>
      </c>
      <c r="D12" s="165">
        <f>'AZ'!E92+'GS事務組'!F92+'GM資產組'!E92</f>
        <v>0</v>
      </c>
      <c r="E12" s="165">
        <f>'AZ'!F92+'GS事務組'!G92+'GM資產組'!F92</f>
        <v>150.3</v>
      </c>
      <c r="F12" s="165">
        <f>'AZ'!G92+'GS事務組'!H92+'GM資產組'!G92</f>
        <v>2800</v>
      </c>
      <c r="G12" s="165">
        <f>'AZ'!H92+'GS事務組'!I92+'GM資產組'!H92</f>
        <v>0</v>
      </c>
      <c r="H12" s="165">
        <f>'AZ'!I92+'GS事務組'!J92+'GM資產組'!I92</f>
        <v>452.9</v>
      </c>
      <c r="I12" s="165">
        <f>'AZ'!J92+'GS事務組'!K92+'GM資產組'!J92</f>
        <v>0</v>
      </c>
      <c r="J12" s="165">
        <f>'AZ'!K92+'GS事務組'!L92+'GM資產組'!K92</f>
        <v>0</v>
      </c>
      <c r="K12" s="165">
        <f>'AZ'!L92+'GS事務組'!M92+'GM資產組'!L92</f>
        <v>0</v>
      </c>
      <c r="L12" s="165">
        <f>'AZ'!M92+'GS事務組'!N92+'GM資產組'!M92</f>
        <v>0</v>
      </c>
      <c r="M12" s="165">
        <f>'AZ'!N92+'GS事務組'!O92+'GM資產組'!N92</f>
        <v>0</v>
      </c>
      <c r="N12" s="165">
        <f>'AZ'!O92+'GS事務組'!P92+'GM資產組'!O92</f>
        <v>646.4</v>
      </c>
      <c r="O12" s="165">
        <f>'AZ'!P92+'GS事務組'!Q92+'GM資產組'!P92</f>
        <v>0</v>
      </c>
      <c r="P12" s="165">
        <f>'AZ'!Q92+'GS事務組'!R92+'GM資產組'!Q92</f>
        <v>0</v>
      </c>
      <c r="Q12" s="165">
        <f>'AZ'!R92+'GS事務組'!S92+'GM資產組'!R92</f>
        <v>0</v>
      </c>
      <c r="R12" s="165">
        <f>'AZ'!S92+'GS事務組'!T92+'GM資產組'!S92</f>
        <v>0</v>
      </c>
      <c r="S12" s="165">
        <f>'AZ'!T92+'GS事務組'!U92+'GM資產組'!T92</f>
        <v>0</v>
      </c>
      <c r="T12" s="165">
        <f>'AZ'!U92+'GS事務組'!V92+'GM資產組'!U92</f>
        <v>0</v>
      </c>
      <c r="U12" s="165">
        <f>'AZ'!V92+'GS事務組'!W92+'GM資產組'!V92</f>
        <v>0</v>
      </c>
      <c r="V12" s="166">
        <f>'AZ'!W92+'GS事務組'!X92+'GM資產組'!W92</f>
        <v>0</v>
      </c>
    </row>
    <row r="13" spans="1:22" ht="17.25" thickBot="1">
      <c r="A13" s="113">
        <v>12</v>
      </c>
      <c r="B13" s="165">
        <f t="shared" si="0"/>
        <v>7033.9</v>
      </c>
      <c r="C13" s="165">
        <f>'AZ'!D93+'GS事務組'!E93+'GM資產組'!D93</f>
        <v>1955.3</v>
      </c>
      <c r="D13" s="165">
        <f>'AZ'!E93+'GS事務組'!F93+'GM資產組'!E93</f>
        <v>0</v>
      </c>
      <c r="E13" s="165">
        <f>'AZ'!F93+'GS事務組'!G93+'GM資產組'!F93</f>
        <v>157.1</v>
      </c>
      <c r="F13" s="165">
        <f>'AZ'!G93+'GS事務組'!H93+'GM資產組'!G93</f>
        <v>3600</v>
      </c>
      <c r="G13" s="165">
        <f>'AZ'!H93+'GS事務組'!I93+'GM資產組'!H93</f>
        <v>0</v>
      </c>
      <c r="H13" s="165">
        <f>'AZ'!I93+'GS事務組'!J93+'GM資產組'!I93</f>
        <v>450.8</v>
      </c>
      <c r="I13" s="165">
        <f>'AZ'!J93+'GS事務組'!K93+'GM資產組'!J93</f>
        <v>0</v>
      </c>
      <c r="J13" s="165">
        <f>'AZ'!K93+'GS事務組'!L93+'GM資產組'!K93</f>
        <v>0</v>
      </c>
      <c r="K13" s="165">
        <f>'AZ'!L93+'GS事務組'!M93+'GM資產組'!L93</f>
        <v>0</v>
      </c>
      <c r="L13" s="165">
        <f>'AZ'!M93+'GS事務組'!N93+'GM資產組'!M93</f>
        <v>0</v>
      </c>
      <c r="M13" s="165">
        <f>'AZ'!N93+'GS事務組'!O93+'GM資產組'!N93</f>
        <v>0</v>
      </c>
      <c r="N13" s="165">
        <f>'AZ'!O93+'GS事務組'!P93+'GM資產組'!O93</f>
        <v>870.7</v>
      </c>
      <c r="O13" s="165">
        <f>'AZ'!P93+'GS事務組'!Q93+'GM資產組'!P93</f>
        <v>0</v>
      </c>
      <c r="P13" s="165">
        <f>'AZ'!Q93+'GS事務組'!R93+'GM資產組'!Q93</f>
        <v>0</v>
      </c>
      <c r="Q13" s="165">
        <f>'AZ'!R93+'GS事務組'!S93+'GM資產組'!R93</f>
        <v>0</v>
      </c>
      <c r="R13" s="165">
        <f>'AZ'!S93+'GS事務組'!T93+'GM資產組'!S93</f>
        <v>0</v>
      </c>
      <c r="S13" s="165">
        <f>'AZ'!T93+'GS事務組'!U93+'GM資產組'!T93</f>
        <v>0</v>
      </c>
      <c r="T13" s="165">
        <f>'AZ'!U93+'GS事務組'!V93+'GM資產組'!U93</f>
        <v>0</v>
      </c>
      <c r="U13" s="165">
        <f>'AZ'!V93+'GS事務組'!W93+'GM資產組'!V93</f>
        <v>0</v>
      </c>
      <c r="V13" s="166">
        <f>'AZ'!W93+'GS事務組'!X93+'GM資產組'!W93</f>
        <v>0</v>
      </c>
    </row>
    <row r="14" spans="1:22" ht="17.25" thickTop="1">
      <c r="A14" s="267" t="s">
        <v>27</v>
      </c>
      <c r="B14" s="268">
        <f aca="true" t="shared" si="1" ref="B14:V14">SUM(B2:B13)</f>
        <v>37863.299999999996</v>
      </c>
      <c r="C14" s="269">
        <f t="shared" si="1"/>
        <v>15666.5</v>
      </c>
      <c r="D14" s="269">
        <f t="shared" si="1"/>
        <v>0</v>
      </c>
      <c r="E14" s="269">
        <f t="shared" si="1"/>
        <v>1374.3999999999999</v>
      </c>
      <c r="F14" s="269">
        <f t="shared" si="1"/>
        <v>9970</v>
      </c>
      <c r="G14" s="269">
        <f t="shared" si="1"/>
        <v>0</v>
      </c>
      <c r="H14" s="269">
        <f t="shared" si="1"/>
        <v>3921.5000000000005</v>
      </c>
      <c r="I14" s="269">
        <f t="shared" si="1"/>
        <v>0</v>
      </c>
      <c r="J14" s="269">
        <f t="shared" si="1"/>
        <v>0</v>
      </c>
      <c r="K14" s="269">
        <f t="shared" si="1"/>
        <v>62</v>
      </c>
      <c r="L14" s="269">
        <f t="shared" si="1"/>
        <v>130</v>
      </c>
      <c r="M14" s="269">
        <f t="shared" si="1"/>
        <v>0</v>
      </c>
      <c r="N14" s="269">
        <f t="shared" si="1"/>
        <v>6737.9</v>
      </c>
      <c r="O14" s="269">
        <f t="shared" si="1"/>
        <v>0</v>
      </c>
      <c r="P14" s="269">
        <f t="shared" si="1"/>
        <v>0</v>
      </c>
      <c r="Q14" s="269">
        <f t="shared" si="1"/>
        <v>0</v>
      </c>
      <c r="R14" s="269">
        <f t="shared" si="1"/>
        <v>0</v>
      </c>
      <c r="S14" s="269">
        <f t="shared" si="1"/>
        <v>0</v>
      </c>
      <c r="T14" s="269">
        <f t="shared" si="1"/>
        <v>0</v>
      </c>
      <c r="U14" s="269">
        <f t="shared" si="1"/>
        <v>1</v>
      </c>
      <c r="V14" s="270">
        <f t="shared" si="1"/>
        <v>780</v>
      </c>
    </row>
    <row r="15" spans="1:22" ht="30.75" thickBot="1">
      <c r="A15" s="271" t="s">
        <v>48</v>
      </c>
      <c r="B15" s="272">
        <f>B14/12</f>
        <v>3155.2749999999996</v>
      </c>
      <c r="C15" s="272">
        <f aca="true" t="shared" si="2" ref="C15:V15">C14/12</f>
        <v>1305.5416666666667</v>
      </c>
      <c r="D15" s="272">
        <f t="shared" si="2"/>
        <v>0</v>
      </c>
      <c r="E15" s="272">
        <f t="shared" si="2"/>
        <v>114.53333333333332</v>
      </c>
      <c r="F15" s="272">
        <f t="shared" si="2"/>
        <v>830.8333333333334</v>
      </c>
      <c r="G15" s="272">
        <f t="shared" si="2"/>
        <v>0</v>
      </c>
      <c r="H15" s="272">
        <f t="shared" si="2"/>
        <v>326.7916666666667</v>
      </c>
      <c r="I15" s="272">
        <f t="shared" si="2"/>
        <v>0</v>
      </c>
      <c r="J15" s="272">
        <f t="shared" si="2"/>
        <v>0</v>
      </c>
      <c r="K15" s="272">
        <f t="shared" si="2"/>
        <v>5.166666666666667</v>
      </c>
      <c r="L15" s="272">
        <f t="shared" si="2"/>
        <v>10.833333333333334</v>
      </c>
      <c r="M15" s="272">
        <f t="shared" si="2"/>
        <v>0</v>
      </c>
      <c r="N15" s="272">
        <f t="shared" si="2"/>
        <v>561.4916666666667</v>
      </c>
      <c r="O15" s="272">
        <f t="shared" si="2"/>
        <v>0</v>
      </c>
      <c r="P15" s="272">
        <f t="shared" si="2"/>
        <v>0</v>
      </c>
      <c r="Q15" s="272">
        <f t="shared" si="2"/>
        <v>0</v>
      </c>
      <c r="R15" s="272">
        <f t="shared" si="2"/>
        <v>0</v>
      </c>
      <c r="S15" s="272">
        <f t="shared" si="2"/>
        <v>0</v>
      </c>
      <c r="T15" s="272">
        <f t="shared" si="2"/>
        <v>0</v>
      </c>
      <c r="U15" s="272">
        <f t="shared" si="2"/>
        <v>0.08333333333333333</v>
      </c>
      <c r="V15" s="273">
        <f t="shared" si="2"/>
        <v>65</v>
      </c>
    </row>
  </sheetData>
  <sheetProtection/>
  <printOptions/>
  <pageMargins left="0.7" right="0.7" top="0.75" bottom="0.75" header="0.3" footer="0.3"/>
  <pageSetup horizontalDpi="1200" verticalDpi="1200" orientation="portrait" paperSize="9" r:id="rId1"/>
  <ignoredErrors>
    <ignoredError sqref="B14:F1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TKU</cp:lastModifiedBy>
  <cp:lastPrinted>2014-10-01T02:18:04Z</cp:lastPrinted>
  <dcterms:created xsi:type="dcterms:W3CDTF">2009-04-12T06:23:17Z</dcterms:created>
  <dcterms:modified xsi:type="dcterms:W3CDTF">2022-04-11T07:07:03Z</dcterms:modified>
  <cp:category/>
  <cp:version/>
  <cp:contentType/>
  <cp:contentStatus/>
</cp:coreProperties>
</file>